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C:\Mis Documentos\DOCUMENTOS DE APOYO\2022\POA\"/>
    </mc:Choice>
  </mc:AlternateContent>
  <xr:revisionPtr revIDLastSave="0" documentId="13_ncr:1_{AB7631BB-DDC7-4EF9-8966-02D5897D1A1B}" xr6:coauthVersionLast="47" xr6:coauthVersionMax="47" xr10:uidLastSave="{00000000-0000-0000-0000-000000000000}"/>
  <bookViews>
    <workbookView xWindow="-120" yWindow="-120" windowWidth="24240" windowHeight="13140" tabRatio="776" firstSheet="3" activeTab="3" xr2:uid="{00000000-000D-0000-FFFF-FFFF00000000}"/>
  </bookViews>
  <sheets>
    <sheet name="POA INST" sheetId="1" state="hidden" r:id="rId1"/>
    <sheet name="Instructivo Evaluación" sheetId="55" r:id="rId2"/>
    <sheet name="PLAN DESARROLLO" sheetId="30" r:id="rId3"/>
    <sheet name="PROGRAMAS ESTRATEGICOS" sheetId="50" r:id="rId4"/>
    <sheet name="Despliegue POA" sheetId="29" state="hidden" r:id="rId5"/>
    <sheet name="Programa Humanizacion" sheetId="28" r:id="rId6"/>
    <sheet name="Modelo Atención" sheetId="32" r:id="rId7"/>
    <sheet name="Acreditación" sheetId="35" r:id="rId8"/>
    <sheet name="Seguridad Paciente" sheetId="34" r:id="rId9"/>
    <sheet name="Alta Complejidad" sheetId="33" r:id="rId10"/>
    <sheet name="PEGIF" sheetId="36" r:id="rId11"/>
    <sheet name="Costos" sheetId="37" r:id="rId12"/>
    <sheet name="Prevención Daño Ant" sheetId="47" r:id="rId13"/>
    <sheet name="MIPG" sheetId="38" r:id="rId14"/>
    <sheet name="Integración SI" sheetId="48" r:id="rId15"/>
    <sheet name="Construcción-Adecuación" sheetId="49" r:id="rId16"/>
    <sheet name="Gestión Tecnología" sheetId="51" r:id="rId17"/>
    <sheet name="PEGITH" sheetId="52" r:id="rId18"/>
    <sheet name="ISO 140012015" sheetId="39" r:id="rId19"/>
    <sheet name="ISO 450012018" sheetId="40" r:id="rId20"/>
    <sheet name="ISO 90012015" sheetId="54" r:id="rId21"/>
    <sheet name="BPE - BPM" sheetId="41" r:id="rId22"/>
    <sheet name="BPM" sheetId="42" state="hidden" r:id="rId23"/>
    <sheet name="Gestion Investigación" sheetId="43" r:id="rId24"/>
    <sheet name="Líneas Investigación" sheetId="44" state="hidden" r:id="rId25"/>
    <sheet name="Congresos" sheetId="45" state="hidden" r:id="rId26"/>
    <sheet name="Alianzas Estratégicas" sheetId="46" state="hidden" r:id="rId27"/>
  </sheets>
  <definedNames>
    <definedName name="_xlnm.Print_Area" localSheetId="4">'Despliegue POA'!$A$1:$AA$40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3" i="33" l="1"/>
  <c r="Z9" i="34" l="1"/>
  <c r="W11" i="34"/>
  <c r="F6" i="50" l="1"/>
  <c r="AI9" i="51" l="1"/>
  <c r="P8" i="43" l="1"/>
  <c r="Z8" i="43" s="1"/>
  <c r="G18" i="43" l="1"/>
  <c r="X8" i="47" l="1"/>
  <c r="AB8" i="47" s="1"/>
  <c r="T8" i="47"/>
  <c r="Q17" i="47" s="1"/>
  <c r="W17" i="47" s="1"/>
  <c r="P8" i="47"/>
  <c r="M17" i="47" s="1"/>
  <c r="R17" i="47" s="1"/>
  <c r="X17" i="47" s="1"/>
  <c r="K19" i="47"/>
  <c r="K18" i="47"/>
  <c r="K17" i="47"/>
  <c r="K16" i="47"/>
  <c r="G19" i="47"/>
  <c r="G18" i="47"/>
  <c r="G17" i="47"/>
  <c r="G16" i="47"/>
  <c r="S11" i="34"/>
  <c r="CA42" i="33"/>
  <c r="CA41" i="33"/>
  <c r="CA40" i="33"/>
  <c r="CA39" i="33"/>
  <c r="CA38" i="33"/>
  <c r="CA37" i="33"/>
  <c r="CA36" i="33"/>
  <c r="CA35" i="33"/>
  <c r="CA34" i="33"/>
  <c r="CA33" i="33"/>
  <c r="CA32" i="33"/>
  <c r="CA31" i="33"/>
  <c r="CA30" i="33"/>
  <c r="DD8" i="33"/>
  <c r="DC8" i="33"/>
  <c r="DB8" i="33"/>
  <c r="DA8" i="33"/>
  <c r="CZ8" i="33"/>
  <c r="CY8" i="33"/>
  <c r="CX8" i="33"/>
  <c r="CW8" i="33"/>
  <c r="CV8" i="33"/>
  <c r="CU8" i="33"/>
  <c r="CT8" i="33"/>
  <c r="CS8" i="33"/>
  <c r="CR8" i="33"/>
  <c r="AD13" i="33"/>
  <c r="AE13" i="33" s="1"/>
  <c r="AU30" i="33"/>
  <c r="AT42" i="33"/>
  <c r="CC42" i="33" s="1"/>
  <c r="AT41" i="33"/>
  <c r="CC41" i="33" s="1"/>
  <c r="AT40" i="33"/>
  <c r="CC40" i="33" s="1"/>
  <c r="AT39" i="33"/>
  <c r="CC39" i="33" s="1"/>
  <c r="AT38" i="33"/>
  <c r="CC38" i="33" s="1"/>
  <c r="AT37" i="33"/>
  <c r="CC37" i="33" s="1"/>
  <c r="AT36" i="33"/>
  <c r="AT35" i="33"/>
  <c r="CC35" i="33" s="1"/>
  <c r="AT34" i="33"/>
  <c r="CC34" i="33" s="1"/>
  <c r="AT33" i="33"/>
  <c r="CC33" i="33" s="1"/>
  <c r="AT32" i="33"/>
  <c r="CC32" i="33" s="1"/>
  <c r="AT31" i="33"/>
  <c r="CC31" i="33" s="1"/>
  <c r="AT30" i="33"/>
  <c r="CC30" i="33" s="1"/>
  <c r="BW8" i="33"/>
  <c r="BV8" i="33"/>
  <c r="BU8" i="33"/>
  <c r="BT8" i="33"/>
  <c r="BS8" i="33"/>
  <c r="BR8" i="33"/>
  <c r="BQ8" i="33"/>
  <c r="BP8" i="33"/>
  <c r="BO8" i="33"/>
  <c r="BN8" i="33"/>
  <c r="BM8" i="33"/>
  <c r="BL8" i="33"/>
  <c r="BK8" i="33"/>
  <c r="AD42" i="33"/>
  <c r="CB42" i="33" s="1"/>
  <c r="AD41" i="33"/>
  <c r="CB41" i="33" s="1"/>
  <c r="AD40" i="33"/>
  <c r="AU40" i="33" s="1"/>
  <c r="AV40" i="33" s="1"/>
  <c r="AW40" i="33" s="1"/>
  <c r="AD39" i="33"/>
  <c r="CB39" i="33" s="1"/>
  <c r="AD38" i="33"/>
  <c r="CB38" i="33" s="1"/>
  <c r="AD37" i="33"/>
  <c r="AE37" i="33" s="1"/>
  <c r="AD36" i="33"/>
  <c r="CB36" i="33" s="1"/>
  <c r="AD35" i="33"/>
  <c r="AU35" i="33" s="1"/>
  <c r="AV35" i="33" s="1"/>
  <c r="AW35" i="33" s="1"/>
  <c r="AD34" i="33"/>
  <c r="AE34" i="33" s="1"/>
  <c r="AD33" i="33"/>
  <c r="AE33" i="33" s="1"/>
  <c r="AD32" i="33"/>
  <c r="CB32" i="33" s="1"/>
  <c r="AD31" i="33"/>
  <c r="AU31" i="33" s="1"/>
  <c r="AV31" i="33" s="1"/>
  <c r="AW31" i="33" s="1"/>
  <c r="AD30" i="33"/>
  <c r="AE30" i="33" s="1"/>
  <c r="AD29" i="33"/>
  <c r="AD28" i="33"/>
  <c r="AE28" i="33" s="1"/>
  <c r="AD27" i="33"/>
  <c r="AE27" i="33" s="1"/>
  <c r="AD26" i="33"/>
  <c r="AE26" i="33" s="1"/>
  <c r="AD25" i="33"/>
  <c r="AE25" i="33" s="1"/>
  <c r="AD24" i="33"/>
  <c r="AE24" i="33" s="1"/>
  <c r="AD23" i="33"/>
  <c r="AE23" i="33" s="1"/>
  <c r="AD22" i="33"/>
  <c r="AE22" i="33" s="1"/>
  <c r="AD21" i="33"/>
  <c r="AE21" i="33" s="1"/>
  <c r="AD20" i="33"/>
  <c r="AE20" i="33" s="1"/>
  <c r="AD19" i="33"/>
  <c r="AE19" i="33" s="1"/>
  <c r="AD8" i="33"/>
  <c r="AE8" i="33"/>
  <c r="AF8" i="33"/>
  <c r="AG8" i="33"/>
  <c r="AH8" i="33"/>
  <c r="AI8" i="33"/>
  <c r="AJ8" i="33"/>
  <c r="AK8" i="33"/>
  <c r="AL8" i="33"/>
  <c r="AM8" i="33"/>
  <c r="AN8" i="33"/>
  <c r="AO8" i="33"/>
  <c r="AP8" i="33"/>
  <c r="AS7" i="33"/>
  <c r="AU34" i="33" l="1"/>
  <c r="AV34" i="33" s="1"/>
  <c r="AW34" i="33" s="1"/>
  <c r="AU39" i="33"/>
  <c r="AV39" i="33" s="1"/>
  <c r="AW39" i="33" s="1"/>
  <c r="CB35" i="33"/>
  <c r="V17" i="47"/>
  <c r="CB31" i="33"/>
  <c r="CD31" i="33" s="1"/>
  <c r="CE31" i="33" s="1"/>
  <c r="Z8" i="47"/>
  <c r="CD35" i="33"/>
  <c r="CE35" i="33" s="1"/>
  <c r="CD42" i="33"/>
  <c r="CE42" i="33" s="1"/>
  <c r="CD32" i="33"/>
  <c r="CE32" i="33" s="1"/>
  <c r="Y17" i="47"/>
  <c r="CD38" i="33"/>
  <c r="CE38" i="33" s="1"/>
  <c r="CD39" i="33"/>
  <c r="CE39" i="33" s="1"/>
  <c r="CD41" i="33"/>
  <c r="CE41" i="33" s="1"/>
  <c r="AU42" i="33"/>
  <c r="AV42" i="33" s="1"/>
  <c r="AW42" i="33" s="1"/>
  <c r="AU38" i="33"/>
  <c r="AV38" i="33" s="1"/>
  <c r="AW38" i="33" s="1"/>
  <c r="AU33" i="33"/>
  <c r="AV33" i="33" s="1"/>
  <c r="AW33" i="33" s="1"/>
  <c r="AU36" i="33"/>
  <c r="AV36" i="33" s="1"/>
  <c r="AW36" i="33" s="1"/>
  <c r="AE39" i="33"/>
  <c r="AE35" i="33"/>
  <c r="AF35" i="33" s="1"/>
  <c r="AE31" i="33"/>
  <c r="AV30" i="33"/>
  <c r="AW30" i="33" s="1"/>
  <c r="CB34" i="33"/>
  <c r="CD34" i="33" s="1"/>
  <c r="CE34" i="33" s="1"/>
  <c r="CB30" i="33"/>
  <c r="CD30" i="33" s="1"/>
  <c r="CE30" i="33" s="1"/>
  <c r="CC36" i="33"/>
  <c r="CD36" i="33" s="1"/>
  <c r="CE36" i="33" s="1"/>
  <c r="AA8" i="47"/>
  <c r="AE36" i="33"/>
  <c r="CB40" i="33"/>
  <c r="CD40" i="33" s="1"/>
  <c r="CE40" i="33" s="1"/>
  <c r="AU41" i="33"/>
  <c r="AV41" i="33" s="1"/>
  <c r="AW41" i="33" s="1"/>
  <c r="AU37" i="33"/>
  <c r="AV37" i="33" s="1"/>
  <c r="AW37" i="33" s="1"/>
  <c r="AU32" i="33"/>
  <c r="AV32" i="33" s="1"/>
  <c r="AW32" i="33" s="1"/>
  <c r="AE38" i="33"/>
  <c r="AE42" i="33"/>
  <c r="CB37" i="33"/>
  <c r="CD37" i="33" s="1"/>
  <c r="CE37" i="33" s="1"/>
  <c r="CB33" i="33"/>
  <c r="CD33" i="33" s="1"/>
  <c r="CE33" i="33" s="1"/>
  <c r="AE40" i="33"/>
  <c r="AE32" i="33"/>
  <c r="AE41" i="33"/>
  <c r="AE29" i="33"/>
  <c r="S17" i="47"/>
  <c r="T17" i="47" s="1"/>
  <c r="AC8" i="47" l="1"/>
  <c r="X7" i="35"/>
  <c r="AB7" i="35" s="1"/>
  <c r="T7" i="35"/>
  <c r="AA7" i="35" s="1"/>
  <c r="P7" i="35"/>
  <c r="P8" i="35" s="1"/>
  <c r="Z7" i="35" l="1"/>
  <c r="AF30" i="33"/>
  <c r="AF34" i="33"/>
  <c r="AF40" i="33"/>
  <c r="AF41" i="33"/>
  <c r="AF42" i="33"/>
  <c r="AF31" i="33" l="1"/>
  <c r="AF39" i="33" s="1"/>
  <c r="AF38" i="33"/>
  <c r="F10" i="43" l="1"/>
  <c r="F7" i="43"/>
  <c r="F7" i="51"/>
  <c r="F7" i="49"/>
  <c r="F7" i="48"/>
  <c r="F7" i="47"/>
  <c r="L16" i="47" s="1"/>
  <c r="O16" i="47" s="1"/>
  <c r="F7" i="37"/>
  <c r="I10" i="37" s="1"/>
  <c r="F7" i="36"/>
  <c r="F7" i="33"/>
  <c r="F7" i="34"/>
  <c r="L11" i="32"/>
  <c r="F7" i="32"/>
  <c r="F7" i="28"/>
  <c r="AR7" i="32" l="1"/>
  <c r="V7" i="32"/>
  <c r="Z10" i="34"/>
  <c r="AO8" i="36"/>
  <c r="AO9" i="36"/>
  <c r="AO10" i="36"/>
  <c r="AO11" i="36"/>
  <c r="AO12" i="36"/>
  <c r="AO13" i="36"/>
  <c r="AO14" i="36"/>
  <c r="AO15" i="36"/>
  <c r="AO16" i="36"/>
  <c r="AO17" i="36"/>
  <c r="AO18" i="36"/>
  <c r="AO19" i="36"/>
  <c r="AO20" i="36"/>
  <c r="AO21" i="36"/>
  <c r="AO22" i="36"/>
  <c r="AO23" i="36"/>
  <c r="AO24" i="36"/>
  <c r="AF8" i="36"/>
  <c r="AF9" i="36"/>
  <c r="AF10" i="36"/>
  <c r="AF11" i="36"/>
  <c r="AF12" i="36"/>
  <c r="AF13" i="36"/>
  <c r="AF14" i="36"/>
  <c r="AF15" i="36"/>
  <c r="AF16" i="36"/>
  <c r="AF17" i="36"/>
  <c r="AF18" i="36"/>
  <c r="AF19" i="36"/>
  <c r="AF20" i="36"/>
  <c r="AF21" i="36"/>
  <c r="AF22" i="36"/>
  <c r="AF23" i="36"/>
  <c r="AF24" i="36"/>
  <c r="AF7" i="36"/>
  <c r="AF25" i="36" s="1"/>
  <c r="V8" i="36"/>
  <c r="V9" i="36"/>
  <c r="V10" i="36"/>
  <c r="V11" i="36"/>
  <c r="V12" i="36"/>
  <c r="V13" i="36"/>
  <c r="V14" i="36"/>
  <c r="V15" i="36"/>
  <c r="V16" i="36"/>
  <c r="V17" i="36"/>
  <c r="V18" i="36"/>
  <c r="V19" i="36"/>
  <c r="V20" i="36"/>
  <c r="V21" i="36"/>
  <c r="V22" i="36"/>
  <c r="V23" i="36"/>
  <c r="V24" i="36"/>
  <c r="V7" i="36"/>
  <c r="V25" i="36" s="1"/>
  <c r="T10" i="37"/>
  <c r="AA10" i="37"/>
  <c r="AE7" i="38"/>
  <c r="X8" i="48"/>
  <c r="T8" i="48"/>
  <c r="P9" i="48"/>
  <c r="P8" i="48"/>
  <c r="P7" i="48"/>
  <c r="X7" i="41"/>
  <c r="P7" i="41"/>
  <c r="Z7" i="41" s="1"/>
  <c r="AH8" i="52"/>
  <c r="AS7" i="52"/>
  <c r="W14" i="52"/>
  <c r="AU14" i="52" s="1"/>
  <c r="W8" i="52"/>
  <c r="W9" i="52"/>
  <c r="W10" i="52"/>
  <c r="W11" i="52"/>
  <c r="W12" i="52"/>
  <c r="W13" i="52"/>
  <c r="W7" i="52"/>
  <c r="AG7" i="51"/>
  <c r="AA14" i="51" s="1"/>
  <c r="AG8" i="51"/>
  <c r="AA15" i="51" s="1"/>
  <c r="Z7" i="51"/>
  <c r="T14" i="51" s="1"/>
  <c r="AC14" i="51" s="1"/>
  <c r="S9" i="51"/>
  <c r="S8" i="51"/>
  <c r="S7" i="51"/>
  <c r="M14" i="51" s="1"/>
  <c r="X8" i="54"/>
  <c r="T8" i="54"/>
  <c r="V9" i="54"/>
  <c r="U9" i="54"/>
  <c r="R9" i="54"/>
  <c r="Q9" i="54"/>
  <c r="N9" i="54"/>
  <c r="M9" i="54"/>
  <c r="P8" i="54"/>
  <c r="Z8" i="54" s="1"/>
  <c r="AB8" i="54"/>
  <c r="AA8" i="54"/>
  <c r="M19" i="34" l="1"/>
  <c r="N19" i="34" s="1"/>
  <c r="BB10" i="34"/>
  <c r="M19" i="52"/>
  <c r="U14" i="51"/>
  <c r="V14" i="51" s="1"/>
  <c r="N14" i="51"/>
  <c r="W15" i="52"/>
  <c r="AC8" i="54"/>
  <c r="AF11" i="28"/>
  <c r="AF8" i="28"/>
  <c r="AF9" i="28"/>
  <c r="AF10" i="28"/>
  <c r="AF7" i="28"/>
  <c r="V8" i="28"/>
  <c r="AR8" i="28" s="1"/>
  <c r="V9" i="28"/>
  <c r="AR9" i="28" s="1"/>
  <c r="V10" i="28"/>
  <c r="AR10" i="28" s="1"/>
  <c r="V7" i="28"/>
  <c r="AR7" i="28" s="1"/>
  <c r="V11" i="28" l="1"/>
  <c r="CD43" i="33"/>
  <c r="AF24" i="33" l="1"/>
  <c r="AF23" i="33"/>
  <c r="AF22" i="33"/>
  <c r="AF21" i="33"/>
  <c r="AF20" i="33"/>
  <c r="AF29" i="33" l="1"/>
  <c r="AF37" i="33" s="1"/>
  <c r="AF36" i="33"/>
  <c r="AF25" i="33"/>
  <c r="AF33" i="33" s="1"/>
  <c r="AF32" i="33"/>
  <c r="AZ10" i="34"/>
  <c r="AN19" i="34" s="1"/>
  <c r="AV11" i="34"/>
  <c r="AR11" i="34"/>
  <c r="M26" i="30" l="1"/>
  <c r="U8" i="41" l="1"/>
  <c r="BJ8" i="38" l="1"/>
  <c r="BB8" i="38"/>
  <c r="AZ8" i="38"/>
  <c r="X11" i="43" l="1"/>
  <c r="X12" i="43"/>
  <c r="X10" i="43"/>
  <c r="M23" i="30"/>
  <c r="X7" i="54"/>
  <c r="AS14" i="52"/>
  <c r="AW14" i="52" s="1"/>
  <c r="AS13" i="52"/>
  <c r="AW13" i="52" s="1"/>
  <c r="AS12" i="52"/>
  <c r="AW12" i="52" s="1"/>
  <c r="AS11" i="52"/>
  <c r="AW11" i="52" s="1"/>
  <c r="AS10" i="52"/>
  <c r="AW10" i="52" s="1"/>
  <c r="AS9" i="52"/>
  <c r="AW9" i="52" s="1"/>
  <c r="AS8" i="52"/>
  <c r="AI19" i="52"/>
  <c r="AG9" i="51"/>
  <c r="X9" i="48"/>
  <c r="AB9" i="48" s="1"/>
  <c r="X7" i="48"/>
  <c r="AB7" i="48" s="1"/>
  <c r="BN7" i="38"/>
  <c r="BR7" i="38" s="1"/>
  <c r="AX8" i="38"/>
  <c r="AY8" i="38"/>
  <c r="BA8" i="38"/>
  <c r="BC8" i="38"/>
  <c r="BD8" i="38"/>
  <c r="AS25" i="36"/>
  <c r="AO25" i="36"/>
  <c r="AS23" i="36"/>
  <c r="AS21" i="36"/>
  <c r="AS19" i="36"/>
  <c r="AS17" i="36"/>
  <c r="AS16" i="36"/>
  <c r="AS15" i="36"/>
  <c r="AS11" i="36"/>
  <c r="AS10" i="36"/>
  <c r="AS9" i="36"/>
  <c r="AS8" i="36"/>
  <c r="AO7" i="36"/>
  <c r="AS7" i="36" s="1"/>
  <c r="CB20" i="33"/>
  <c r="CB21" i="33"/>
  <c r="CB22" i="33"/>
  <c r="CB23" i="33"/>
  <c r="CB24" i="33"/>
  <c r="CB25" i="33"/>
  <c r="CB28" i="33"/>
  <c r="CB29" i="33"/>
  <c r="CA29" i="33"/>
  <c r="CA28" i="33"/>
  <c r="CA27" i="33"/>
  <c r="CA26" i="33"/>
  <c r="CA25" i="33"/>
  <c r="CA24" i="33"/>
  <c r="CA23" i="33"/>
  <c r="CA22" i="33"/>
  <c r="CA21" i="33"/>
  <c r="CA20" i="33"/>
  <c r="CA19" i="33"/>
  <c r="CA18" i="33"/>
  <c r="CA17" i="33"/>
  <c r="CA16" i="33"/>
  <c r="CA15" i="33"/>
  <c r="CA14" i="33"/>
  <c r="CA13" i="33"/>
  <c r="DG7" i="33"/>
  <c r="DK7" i="33" s="1"/>
  <c r="CC8" i="33"/>
  <c r="CD8" i="33"/>
  <c r="CE8" i="33"/>
  <c r="CF8" i="33"/>
  <c r="CG8" i="33"/>
  <c r="CH8" i="33"/>
  <c r="CI8" i="33"/>
  <c r="CJ8" i="33"/>
  <c r="CK8" i="33"/>
  <c r="CL8" i="33"/>
  <c r="CM8" i="33"/>
  <c r="CN8" i="33"/>
  <c r="CO8" i="33"/>
  <c r="BD10" i="34"/>
  <c r="AZ9" i="34"/>
  <c r="BD9" i="34" s="1"/>
  <c r="AZ8" i="34"/>
  <c r="BD8" i="34" s="1"/>
  <c r="AZ7" i="34"/>
  <c r="BD7" i="34" s="1"/>
  <c r="AT11" i="34"/>
  <c r="AU11" i="34"/>
  <c r="AH17" i="32"/>
  <c r="AI17" i="32" s="1"/>
  <c r="AH16" i="32"/>
  <c r="AI16" i="32" s="1"/>
  <c r="AH15" i="32"/>
  <c r="AI15" i="32" s="1"/>
  <c r="AH14" i="32"/>
  <c r="AI14" i="32" s="1"/>
  <c r="AH13" i="32"/>
  <c r="AI13" i="32" s="1"/>
  <c r="AH12" i="32"/>
  <c r="AI12" i="32" s="1"/>
  <c r="AH11" i="32"/>
  <c r="AI11" i="32" s="1"/>
  <c r="AP11" i="28"/>
  <c r="AP10" i="28"/>
  <c r="AT10" i="28" s="1"/>
  <c r="AP9" i="28"/>
  <c r="AT9" i="28" s="1"/>
  <c r="AP8" i="28"/>
  <c r="AT8" i="28" s="1"/>
  <c r="AP7" i="28"/>
  <c r="AT7" i="28" s="1"/>
  <c r="AK9" i="51" l="1"/>
  <c r="AA16" i="51"/>
  <c r="AB7" i="54"/>
  <c r="X9" i="54"/>
  <c r="AB12" i="43"/>
  <c r="M28" i="30"/>
  <c r="U19" i="43"/>
  <c r="X19" i="43" s="1"/>
  <c r="Y19" i="43" s="1"/>
  <c r="AB10" i="43"/>
  <c r="AW8" i="52"/>
  <c r="AS15" i="52"/>
  <c r="AB11" i="43"/>
  <c r="M27" i="30"/>
  <c r="AW7" i="52"/>
  <c r="W14" i="48"/>
  <c r="AS18" i="36"/>
  <c r="AH18" i="32"/>
  <c r="AJ11" i="32" s="1"/>
  <c r="J8" i="30" s="1"/>
  <c r="AB26" i="36"/>
  <c r="R19" i="43" l="1"/>
  <c r="T11" i="43"/>
  <c r="AA11" i="43" s="1"/>
  <c r="T10" i="43"/>
  <c r="AA10" i="43" s="1"/>
  <c r="Q8" i="41" l="1"/>
  <c r="T7" i="41"/>
  <c r="T8" i="41" l="1"/>
  <c r="AS7" i="28" l="1"/>
  <c r="AL8" i="38" l="1"/>
  <c r="L24" i="30" l="1"/>
  <c r="Q19" i="43"/>
  <c r="P9" i="43"/>
  <c r="P7" i="43"/>
  <c r="L20" i="43"/>
  <c r="N19" i="43"/>
  <c r="O19" i="43" s="1"/>
  <c r="P11" i="43"/>
  <c r="Z11" i="43" s="1"/>
  <c r="P10" i="43"/>
  <c r="Z10" i="43" s="1"/>
  <c r="M18" i="43" l="1"/>
  <c r="Z9" i="43"/>
  <c r="S19" i="43"/>
  <c r="T19" i="43" s="1"/>
  <c r="M17" i="43"/>
  <c r="V17" i="43" s="1"/>
  <c r="Z7" i="43"/>
  <c r="O9" i="30"/>
  <c r="AU7" i="38"/>
  <c r="BQ7" i="38" s="1"/>
  <c r="AR25" i="36"/>
  <c r="AR23" i="36"/>
  <c r="AR21" i="36"/>
  <c r="AR19" i="36"/>
  <c r="AR18" i="36"/>
  <c r="AR17" i="36"/>
  <c r="AR16" i="36"/>
  <c r="AR15" i="36"/>
  <c r="AR11" i="36"/>
  <c r="AR10" i="36"/>
  <c r="AR9" i="36"/>
  <c r="AR8" i="36"/>
  <c r="AR7" i="36"/>
  <c r="BZ7" i="33"/>
  <c r="DJ7" i="33" s="1"/>
  <c r="AM10" i="34"/>
  <c r="AA19" i="34" s="1"/>
  <c r="AM9" i="34"/>
  <c r="BC9" i="34" s="1"/>
  <c r="AM8" i="34"/>
  <c r="BC8" i="34" s="1"/>
  <c r="AM7" i="34"/>
  <c r="AG7" i="32"/>
  <c r="AU7" i="32" s="1"/>
  <c r="AH14" i="52"/>
  <c r="X20" i="52" s="1"/>
  <c r="AK20" i="52" s="1"/>
  <c r="AH13" i="52"/>
  <c r="AV13" i="52" s="1"/>
  <c r="AH12" i="52"/>
  <c r="AV12" i="52" s="1"/>
  <c r="AH11" i="52"/>
  <c r="AV11" i="52" s="1"/>
  <c r="AH10" i="52"/>
  <c r="AV10" i="52" s="1"/>
  <c r="AH9" i="52"/>
  <c r="AV9" i="52" s="1"/>
  <c r="AV8" i="52"/>
  <c r="AH7" i="52"/>
  <c r="Z9" i="51"/>
  <c r="AJ9" i="51" s="1"/>
  <c r="Z8" i="51"/>
  <c r="T15" i="51" s="1"/>
  <c r="AC15" i="51" s="1"/>
  <c r="AJ7" i="51"/>
  <c r="Q12" i="49"/>
  <c r="T9" i="48"/>
  <c r="Q16" i="48" s="1"/>
  <c r="Y16" i="48" s="1"/>
  <c r="T7" i="48"/>
  <c r="AK8" i="38"/>
  <c r="AM8" i="38"/>
  <c r="AN8" i="38"/>
  <c r="AO8" i="38"/>
  <c r="V18" i="43" l="1"/>
  <c r="R18" i="43"/>
  <c r="N18" i="43"/>
  <c r="O18" i="43" s="1"/>
  <c r="Q14" i="48"/>
  <c r="Y14" i="48" s="1"/>
  <c r="Z14" i="48" s="1"/>
  <c r="AA14" i="48" s="1"/>
  <c r="AA7" i="48"/>
  <c r="V15" i="51"/>
  <c r="W15" i="51" s="1"/>
  <c r="Z20" i="52"/>
  <c r="AA20" i="52" s="1"/>
  <c r="X19" i="52"/>
  <c r="AK19" i="52" s="1"/>
  <c r="BC10" i="34"/>
  <c r="AP19" i="34"/>
  <c r="BC7" i="34"/>
  <c r="AA16" i="34"/>
  <c r="AF26" i="36"/>
  <c r="N17" i="43"/>
  <c r="O17" i="43" s="1"/>
  <c r="O20" i="43" s="1"/>
  <c r="R17" i="43"/>
  <c r="AV7" i="52"/>
  <c r="AV14" i="52"/>
  <c r="AA9" i="48"/>
  <c r="T16" i="51"/>
  <c r="AC16" i="51" s="1"/>
  <c r="AJ8" i="51"/>
  <c r="AA10" i="48" l="1"/>
  <c r="L16" i="30" s="1"/>
  <c r="AP16" i="34"/>
  <c r="AA20" i="34"/>
  <c r="V16" i="51"/>
  <c r="W16" i="51" s="1"/>
  <c r="P26" i="36"/>
  <c r="O26" i="36"/>
  <c r="Q26" i="36"/>
  <c r="R26" i="36"/>
  <c r="S26" i="36"/>
  <c r="AT13" i="33" l="1"/>
  <c r="AT29" i="33"/>
  <c r="AT28" i="33"/>
  <c r="AT27" i="33"/>
  <c r="AT26" i="33"/>
  <c r="CC26" i="33" s="1"/>
  <c r="AT25" i="33"/>
  <c r="AT24" i="33"/>
  <c r="AT23" i="33"/>
  <c r="AT22" i="33"/>
  <c r="AT21" i="33"/>
  <c r="AT20" i="33"/>
  <c r="AT19" i="33"/>
  <c r="CC19" i="33" s="1"/>
  <c r="AT18" i="33"/>
  <c r="CC18" i="33" s="1"/>
  <c r="AT17" i="33"/>
  <c r="CC17" i="33" s="1"/>
  <c r="AT16" i="33"/>
  <c r="CC16" i="33" s="1"/>
  <c r="AT15" i="33"/>
  <c r="CC15" i="33" s="1"/>
  <c r="AT14" i="33"/>
  <c r="CC14" i="33" s="1"/>
  <c r="CC13" i="33" l="1"/>
  <c r="CC24" i="33"/>
  <c r="CC28" i="33"/>
  <c r="CC25" i="33"/>
  <c r="CC29" i="33"/>
  <c r="CC23" i="33"/>
  <c r="CC27" i="33"/>
  <c r="CC20" i="33"/>
  <c r="CC21" i="33"/>
  <c r="CC22" i="33"/>
  <c r="AW8" i="33"/>
  <c r="AX8" i="33"/>
  <c r="AY8" i="33"/>
  <c r="AZ8" i="33"/>
  <c r="BA8" i="33"/>
  <c r="BB8" i="33"/>
  <c r="BC8" i="33"/>
  <c r="BD8" i="33"/>
  <c r="BE8" i="33"/>
  <c r="BF8" i="33"/>
  <c r="BG8" i="33"/>
  <c r="BH8" i="33"/>
  <c r="BI8" i="33"/>
  <c r="AA18" i="34"/>
  <c r="AP18" i="34" s="1"/>
  <c r="AA17" i="34"/>
  <c r="AP17" i="34" s="1"/>
  <c r="AG11" i="34"/>
  <c r="AH11" i="34"/>
  <c r="AI11" i="34"/>
  <c r="W13" i="32"/>
  <c r="X13" i="32" s="1"/>
  <c r="W12" i="32"/>
  <c r="X12" i="32" s="1"/>
  <c r="W11" i="32"/>
  <c r="X11" i="32" s="1"/>
  <c r="W17" i="32"/>
  <c r="X17" i="32" s="1"/>
  <c r="W16" i="32"/>
  <c r="X16" i="32" s="1"/>
  <c r="W15" i="32"/>
  <c r="X15" i="32" s="1"/>
  <c r="W14" i="32"/>
  <c r="X14" i="32" s="1"/>
  <c r="W15" i="28"/>
  <c r="AI15" i="28" s="1"/>
  <c r="CD28" i="33" l="1"/>
  <c r="CE28" i="33" s="1"/>
  <c r="CD22" i="33"/>
  <c r="CE22" i="33" s="1"/>
  <c r="CD23" i="33"/>
  <c r="CE23" i="33" s="1"/>
  <c r="CD24" i="33"/>
  <c r="CE24" i="33" s="1"/>
  <c r="CD21" i="33"/>
  <c r="CE21" i="33" s="1"/>
  <c r="CD29" i="33"/>
  <c r="CE29" i="33" s="1"/>
  <c r="CD20" i="33"/>
  <c r="CE20" i="33" s="1"/>
  <c r="CD25" i="33"/>
  <c r="CE25" i="33" s="1"/>
  <c r="AD16" i="34"/>
  <c r="W18" i="32"/>
  <c r="Y11" i="32" s="1"/>
  <c r="AL11" i="32" s="1"/>
  <c r="CB13" i="33" l="1"/>
  <c r="AU13" i="33"/>
  <c r="AV13" i="33" s="1"/>
  <c r="V11" i="34"/>
  <c r="N11" i="34"/>
  <c r="CD13" i="33" l="1"/>
  <c r="CE13" i="33" s="1"/>
  <c r="AW13" i="33"/>
  <c r="AB19" i="34" l="1"/>
  <c r="AC19" i="34" s="1"/>
  <c r="AO19" i="34"/>
  <c r="M11" i="32"/>
  <c r="N11" i="32" s="1"/>
  <c r="Z7" i="34"/>
  <c r="BB7" i="34" s="1"/>
  <c r="T11" i="34"/>
  <c r="U11" i="34"/>
  <c r="M16" i="34" l="1"/>
  <c r="AB16" i="34" l="1"/>
  <c r="AC16" i="34" s="1"/>
  <c r="AO16" i="34"/>
  <c r="N16" i="34"/>
  <c r="K19" i="34" l="1"/>
  <c r="K18" i="34"/>
  <c r="K17" i="34"/>
  <c r="K16" i="34"/>
  <c r="F17" i="34"/>
  <c r="F18" i="34"/>
  <c r="F19" i="34"/>
  <c r="F16" i="34"/>
  <c r="E15" i="34"/>
  <c r="BP7" i="38" l="1"/>
  <c r="T8" i="38"/>
  <c r="U8" i="38"/>
  <c r="V8" i="38"/>
  <c r="Y8" i="38"/>
  <c r="AB8" i="38"/>
  <c r="M8" i="38"/>
  <c r="N8" i="38"/>
  <c r="O8" i="38"/>
  <c r="P8" i="38"/>
  <c r="Q8" i="38"/>
  <c r="R8" i="38"/>
  <c r="S8" i="38"/>
  <c r="K19" i="49" l="1"/>
  <c r="K18" i="49"/>
  <c r="Z8" i="48"/>
  <c r="Z9" i="48"/>
  <c r="Z7" i="48"/>
  <c r="AU28" i="33"/>
  <c r="AV28" i="33" s="1"/>
  <c r="AW28" i="33" s="1"/>
  <c r="AU25" i="33"/>
  <c r="AV25" i="33" s="1"/>
  <c r="AW25" i="33" s="1"/>
  <c r="AU24" i="33"/>
  <c r="AV24" i="33" s="1"/>
  <c r="AW24" i="33" s="1"/>
  <c r="AU23" i="33"/>
  <c r="AV23" i="33" s="1"/>
  <c r="AW23" i="33" s="1"/>
  <c r="AU22" i="33"/>
  <c r="AV22" i="33" s="1"/>
  <c r="AW22" i="33" s="1"/>
  <c r="AD18" i="33"/>
  <c r="AE18" i="33" s="1"/>
  <c r="AD17" i="33"/>
  <c r="AE17" i="33" s="1"/>
  <c r="AD16" i="33"/>
  <c r="AE16" i="33" s="1"/>
  <c r="AD15" i="33"/>
  <c r="AE15" i="33" s="1"/>
  <c r="AD14" i="33"/>
  <c r="AE14" i="33" s="1"/>
  <c r="R8" i="33"/>
  <c r="S8" i="33"/>
  <c r="T8" i="33"/>
  <c r="U8" i="33"/>
  <c r="V8" i="33"/>
  <c r="W8" i="33"/>
  <c r="X8" i="33"/>
  <c r="Y8" i="33"/>
  <c r="Z8" i="33"/>
  <c r="AA8" i="33"/>
  <c r="Z8" i="34"/>
  <c r="O12" i="28"/>
  <c r="P12" i="28"/>
  <c r="Q12" i="28"/>
  <c r="R12" i="28"/>
  <c r="S12" i="28"/>
  <c r="N12" i="28"/>
  <c r="M12" i="28"/>
  <c r="CB17" i="33" l="1"/>
  <c r="CB16" i="33"/>
  <c r="CB14" i="33"/>
  <c r="CB18" i="33"/>
  <c r="CB15" i="33"/>
  <c r="CB19" i="33"/>
  <c r="AU15" i="33"/>
  <c r="AV15" i="33" s="1"/>
  <c r="AW15" i="33" s="1"/>
  <c r="AU19" i="33"/>
  <c r="AV19" i="33" s="1"/>
  <c r="AW19" i="33" s="1"/>
  <c r="AU16" i="33"/>
  <c r="AV16" i="33" s="1"/>
  <c r="AW16" i="33" s="1"/>
  <c r="AU20" i="33"/>
  <c r="AV20" i="33" s="1"/>
  <c r="AW20" i="33" s="1"/>
  <c r="AU29" i="33"/>
  <c r="AV29" i="33" s="1"/>
  <c r="AW29" i="33" s="1"/>
  <c r="AU17" i="33"/>
  <c r="AV17" i="33" s="1"/>
  <c r="AW17" i="33" s="1"/>
  <c r="AU21" i="33"/>
  <c r="AV21" i="33" s="1"/>
  <c r="AW21" i="33" s="1"/>
  <c r="AU14" i="33"/>
  <c r="AV14" i="33" s="1"/>
  <c r="AW14" i="33" s="1"/>
  <c r="AU18" i="33"/>
  <c r="AV18" i="33" s="1"/>
  <c r="AW18" i="33" s="1"/>
  <c r="AF28" i="33"/>
  <c r="BB9" i="34"/>
  <c r="M18" i="34"/>
  <c r="AO18" i="34" s="1"/>
  <c r="BB8" i="34"/>
  <c r="M17" i="34"/>
  <c r="T7" i="39"/>
  <c r="AA7" i="39" s="1"/>
  <c r="X7" i="39"/>
  <c r="AB7" i="39" s="1"/>
  <c r="CD14" i="33" l="1"/>
  <c r="CE14" i="33" s="1"/>
  <c r="CD19" i="33"/>
  <c r="CE19" i="33" s="1"/>
  <c r="CD16" i="33"/>
  <c r="CE16" i="33" s="1"/>
  <c r="CD18" i="33"/>
  <c r="CE18" i="33" s="1"/>
  <c r="CD15" i="33"/>
  <c r="CE15" i="33" s="1"/>
  <c r="CD17" i="33"/>
  <c r="CE17" i="33" s="1"/>
  <c r="AF19" i="33"/>
  <c r="AB17" i="34"/>
  <c r="AC17" i="34" s="1"/>
  <c r="AO17" i="34"/>
  <c r="N18" i="34"/>
  <c r="AB18" i="34"/>
  <c r="AC18" i="34" s="1"/>
  <c r="N20" i="34"/>
  <c r="O16" i="34" s="1"/>
  <c r="N17" i="34"/>
  <c r="CB26" i="33" l="1"/>
  <c r="AU26" i="33"/>
  <c r="AV26" i="33" s="1"/>
  <c r="AW26" i="33" s="1"/>
  <c r="AF26" i="33"/>
  <c r="AF27" i="33"/>
  <c r="CB27" i="33"/>
  <c r="AU27" i="33"/>
  <c r="W16" i="48"/>
  <c r="DI7" i="33"/>
  <c r="CD27" i="33" l="1"/>
  <c r="CE27" i="33" s="1"/>
  <c r="CD26" i="33"/>
  <c r="CE26" i="33" s="1"/>
  <c r="AV27" i="33"/>
  <c r="AW27" i="33" s="1"/>
  <c r="AW43" i="33" s="1"/>
  <c r="AX13" i="33" s="1"/>
  <c r="Z16" i="48"/>
  <c r="AA16" i="48" s="1"/>
  <c r="AQ24" i="36"/>
  <c r="AS24" i="36"/>
  <c r="AR24" i="36"/>
  <c r="AQ23" i="36"/>
  <c r="CE43" i="33" l="1"/>
  <c r="AT24" i="36"/>
  <c r="AT23" i="36"/>
  <c r="L21" i="52"/>
  <c r="L17" i="51"/>
  <c r="K16" i="51"/>
  <c r="K15" i="51"/>
  <c r="K14" i="51"/>
  <c r="L20" i="49"/>
  <c r="K17" i="49"/>
  <c r="K16" i="49"/>
  <c r="K15" i="49"/>
  <c r="K16" i="48"/>
  <c r="K15" i="48"/>
  <c r="K14" i="48"/>
  <c r="L17" i="48"/>
  <c r="X10" i="37"/>
  <c r="AB10" i="37" s="1"/>
  <c r="AF18" i="33"/>
  <c r="AF17" i="33"/>
  <c r="AF16" i="33"/>
  <c r="AF15" i="33"/>
  <c r="AF14" i="33"/>
  <c r="AF13" i="33"/>
  <c r="AF43" i="33" l="1"/>
  <c r="M13" i="32"/>
  <c r="N13" i="32" s="1"/>
  <c r="M17" i="32"/>
  <c r="N17" i="32" s="1"/>
  <c r="M16" i="32"/>
  <c r="N16" i="32" s="1"/>
  <c r="M15" i="32"/>
  <c r="N15" i="32" s="1"/>
  <c r="M14" i="32"/>
  <c r="N14" i="32" s="1"/>
  <c r="M12" i="32"/>
  <c r="N12" i="32" s="1"/>
  <c r="M18" i="32" l="1"/>
  <c r="O11" i="32" s="1"/>
  <c r="AS10" i="28"/>
  <c r="M18" i="28"/>
  <c r="AH18" i="28" s="1"/>
  <c r="N18" i="28" l="1"/>
  <c r="X18" i="28"/>
  <c r="AG18" i="28"/>
  <c r="W18" i="28"/>
  <c r="AI18" i="28" s="1"/>
  <c r="AJ18" i="28" l="1"/>
  <c r="Y18" i="28"/>
  <c r="AU10" i="28"/>
  <c r="CF13" i="33"/>
  <c r="J11" i="30" s="1"/>
  <c r="M15" i="28" l="1"/>
  <c r="AH15" i="28" s="1"/>
  <c r="N15" i="28" l="1"/>
  <c r="X15" i="28"/>
  <c r="Y15" i="28" s="1"/>
  <c r="T15" i="52"/>
  <c r="AJ15" i="52"/>
  <c r="AK15" i="52"/>
  <c r="AL15" i="52"/>
  <c r="AM15" i="52"/>
  <c r="AE15" i="52"/>
  <c r="AI20" i="52"/>
  <c r="AL20" i="52" s="1"/>
  <c r="AU8" i="52"/>
  <c r="AU9" i="52"/>
  <c r="AU10" i="52"/>
  <c r="AU11" i="52"/>
  <c r="AU12" i="52"/>
  <c r="AU13" i="52"/>
  <c r="AU7" i="52" l="1"/>
  <c r="AU15" i="52" s="1"/>
  <c r="F10" i="50" s="1"/>
  <c r="AJ19" i="52"/>
  <c r="AL19" i="52" s="1"/>
  <c r="AM19" i="52" s="1"/>
  <c r="M20" i="52"/>
  <c r="AJ20" i="52" s="1"/>
  <c r="AM20" i="52" s="1"/>
  <c r="T7" i="54"/>
  <c r="P7" i="54"/>
  <c r="X7" i="40"/>
  <c r="AB7" i="40" s="1"/>
  <c r="T7" i="40"/>
  <c r="AA7" i="40" s="1"/>
  <c r="P7" i="40"/>
  <c r="Z7" i="40" s="1"/>
  <c r="Z7" i="54" l="1"/>
  <c r="P9" i="54"/>
  <c r="AA7" i="54"/>
  <c r="T9" i="54"/>
  <c r="N20" i="52"/>
  <c r="O20" i="52" s="1"/>
  <c r="Y20" i="52"/>
  <c r="N19" i="52"/>
  <c r="O19" i="52" s="1"/>
  <c r="Y19" i="52"/>
  <c r="Z19" i="52" s="1"/>
  <c r="AA19" i="52" s="1"/>
  <c r="AA21" i="52" s="1"/>
  <c r="AB19" i="52" s="1"/>
  <c r="Q8" i="40"/>
  <c r="O21" i="52" l="1"/>
  <c r="Y9" i="54"/>
  <c r="W9" i="54"/>
  <c r="S9" i="54"/>
  <c r="O9" i="54"/>
  <c r="AA9" i="54"/>
  <c r="Z9" i="54"/>
  <c r="X9" i="47"/>
  <c r="V18" i="47" s="1"/>
  <c r="X10" i="47"/>
  <c r="V19" i="47" s="1"/>
  <c r="X7" i="47"/>
  <c r="T9" i="47"/>
  <c r="Q18" i="47" s="1"/>
  <c r="W18" i="47" s="1"/>
  <c r="T10" i="47"/>
  <c r="T7" i="47"/>
  <c r="Q16" i="47" s="1"/>
  <c r="W16" i="47" s="1"/>
  <c r="P10" i="47"/>
  <c r="P7" i="47"/>
  <c r="Z7" i="47" s="1"/>
  <c r="J22" i="30" l="1"/>
  <c r="S11" i="50"/>
  <c r="Z10" i="47"/>
  <c r="M19" i="47"/>
  <c r="AA10" i="47"/>
  <c r="Q19" i="47"/>
  <c r="W19" i="47" s="1"/>
  <c r="AB10" i="47"/>
  <c r="AB9" i="47"/>
  <c r="AB7" i="47"/>
  <c r="V16" i="47"/>
  <c r="AA9" i="47"/>
  <c r="AA7" i="47"/>
  <c r="M16" i="47"/>
  <c r="L22" i="30"/>
  <c r="M22" i="30"/>
  <c r="AC7" i="54"/>
  <c r="AC9" i="54" s="1"/>
  <c r="W8" i="40"/>
  <c r="V8" i="40"/>
  <c r="S8" i="40"/>
  <c r="R8" i="40"/>
  <c r="P7" i="39"/>
  <c r="Z7" i="39" s="1"/>
  <c r="M8" i="39"/>
  <c r="AC10" i="47" l="1"/>
  <c r="R19" i="47"/>
  <c r="X19" i="47" s="1"/>
  <c r="Y19" i="47" s="1"/>
  <c r="Z19" i="47" s="1"/>
  <c r="N19" i="47"/>
  <c r="N16" i="47"/>
  <c r="R16" i="47"/>
  <c r="S19" i="47"/>
  <c r="Z17" i="47"/>
  <c r="AC7" i="39"/>
  <c r="AB9" i="54"/>
  <c r="X11" i="49"/>
  <c r="AB11" i="49" s="1"/>
  <c r="X10" i="49"/>
  <c r="AB10" i="49" s="1"/>
  <c r="X9" i="49"/>
  <c r="AB9" i="49" s="1"/>
  <c r="X8" i="49"/>
  <c r="AB8" i="49" s="1"/>
  <c r="X7" i="49"/>
  <c r="AB7" i="49" s="1"/>
  <c r="T11" i="49"/>
  <c r="AA11" i="49" s="1"/>
  <c r="T10" i="49"/>
  <c r="AA10" i="49" s="1"/>
  <c r="T9" i="49"/>
  <c r="AA9" i="49" s="1"/>
  <c r="T8" i="49"/>
  <c r="AA8" i="49" s="1"/>
  <c r="T7" i="49"/>
  <c r="U12" i="49"/>
  <c r="M12" i="49"/>
  <c r="P11" i="49"/>
  <c r="Z11" i="49" s="1"/>
  <c r="P10" i="49"/>
  <c r="Z9" i="49" s="1"/>
  <c r="P9" i="49"/>
  <c r="Z8" i="49" s="1"/>
  <c r="P8" i="49"/>
  <c r="Z7" i="49" s="1"/>
  <c r="P7" i="49"/>
  <c r="AI8" i="51"/>
  <c r="U11" i="37"/>
  <c r="X9" i="37"/>
  <c r="AB9" i="37" s="1"/>
  <c r="X8" i="37"/>
  <c r="AB8" i="37" s="1"/>
  <c r="X7" i="37"/>
  <c r="AB7" i="37" s="1"/>
  <c r="T7" i="37"/>
  <c r="AA7" i="37" s="1"/>
  <c r="T8" i="37"/>
  <c r="AA8" i="37" s="1"/>
  <c r="T9" i="37"/>
  <c r="AA9" i="37" s="1"/>
  <c r="Q11" i="37"/>
  <c r="P9" i="37"/>
  <c r="Z9" i="37" s="1"/>
  <c r="P8" i="37"/>
  <c r="Z8" i="37" s="1"/>
  <c r="P7" i="37"/>
  <c r="M11" i="37"/>
  <c r="AQ8" i="36"/>
  <c r="AQ9" i="36"/>
  <c r="AQ10" i="36"/>
  <c r="AQ11" i="36"/>
  <c r="AQ15" i="36"/>
  <c r="AQ16" i="36"/>
  <c r="AQ17" i="36"/>
  <c r="AQ18" i="36"/>
  <c r="AQ19" i="36"/>
  <c r="AQ21" i="36"/>
  <c r="AT7" i="32"/>
  <c r="X9" i="43"/>
  <c r="AB9" i="43" s="1"/>
  <c r="X7" i="43"/>
  <c r="T9" i="43"/>
  <c r="T12" i="43"/>
  <c r="AA12" i="43" s="1"/>
  <c r="T7" i="43"/>
  <c r="M13" i="43"/>
  <c r="P12" i="43"/>
  <c r="P13" i="43" s="1"/>
  <c r="U8" i="46"/>
  <c r="X7" i="46"/>
  <c r="AB7" i="46" s="1"/>
  <c r="T7" i="46"/>
  <c r="AA7" i="46" s="1"/>
  <c r="P7" i="46"/>
  <c r="Q8" i="46"/>
  <c r="M8" i="46"/>
  <c r="AB7" i="44"/>
  <c r="U8" i="44"/>
  <c r="T7" i="44"/>
  <c r="AA7" i="44" s="1"/>
  <c r="Q8" i="44"/>
  <c r="P7" i="44"/>
  <c r="M8" i="44"/>
  <c r="X8" i="44"/>
  <c r="X7" i="45"/>
  <c r="X8" i="45" s="1"/>
  <c r="AA7" i="45"/>
  <c r="P7" i="45"/>
  <c r="P8" i="45" s="1"/>
  <c r="T8" i="45"/>
  <c r="L27" i="30" s="1"/>
  <c r="U8" i="45"/>
  <c r="Q8" i="45"/>
  <c r="M8" i="45"/>
  <c r="M24" i="30"/>
  <c r="AA7" i="41"/>
  <c r="AA8" i="41" s="1"/>
  <c r="Z8" i="41"/>
  <c r="L10" i="50" s="1"/>
  <c r="U13" i="43"/>
  <c r="Q13" i="43"/>
  <c r="P8" i="46" l="1"/>
  <c r="Z7" i="46"/>
  <c r="S16" i="47"/>
  <c r="T16" i="47" s="1"/>
  <c r="X16" i="47"/>
  <c r="Y16" i="47" s="1"/>
  <c r="Z16" i="47" s="1"/>
  <c r="T19" i="47"/>
  <c r="AB7" i="41"/>
  <c r="AB8" i="41" s="1"/>
  <c r="X8" i="41"/>
  <c r="U17" i="43"/>
  <c r="X17" i="43" s="1"/>
  <c r="Y17" i="43" s="1"/>
  <c r="AB7" i="43"/>
  <c r="U18" i="43"/>
  <c r="X18" i="43" s="1"/>
  <c r="Y18" i="43" s="1"/>
  <c r="U15" i="49"/>
  <c r="Q15" i="49"/>
  <c r="W15" i="49" s="1"/>
  <c r="X15" i="49" s="1"/>
  <c r="Y15" i="49" s="1"/>
  <c r="AA7" i="49"/>
  <c r="U18" i="49"/>
  <c r="U16" i="49"/>
  <c r="U19" i="49"/>
  <c r="U17" i="49"/>
  <c r="AA7" i="43"/>
  <c r="Q17" i="43"/>
  <c r="W17" i="43" s="1"/>
  <c r="L23" i="30"/>
  <c r="Q18" i="43"/>
  <c r="W18" i="43" s="1"/>
  <c r="AA9" i="43"/>
  <c r="Z10" i="49"/>
  <c r="N17" i="49"/>
  <c r="AI7" i="51"/>
  <c r="S10" i="51"/>
  <c r="K22" i="30"/>
  <c r="O22" i="30" s="1"/>
  <c r="Q16" i="49"/>
  <c r="W16" i="49" s="1"/>
  <c r="X16" i="49" s="1"/>
  <c r="Y16" i="49" s="1"/>
  <c r="Q17" i="49"/>
  <c r="W17" i="49" s="1"/>
  <c r="X17" i="49" s="1"/>
  <c r="Y17" i="49" s="1"/>
  <c r="Q19" i="49"/>
  <c r="W19" i="49" s="1"/>
  <c r="X19" i="49" s="1"/>
  <c r="Y19" i="49" s="1"/>
  <c r="Q18" i="49"/>
  <c r="W18" i="49" s="1"/>
  <c r="X18" i="49" s="1"/>
  <c r="Y18" i="49" s="1"/>
  <c r="K12" i="30"/>
  <c r="O12" i="30" s="1"/>
  <c r="AQ7" i="36"/>
  <c r="M15" i="51"/>
  <c r="M16" i="51"/>
  <c r="N16" i="51" s="1"/>
  <c r="Z7" i="45"/>
  <c r="Z7" i="37"/>
  <c r="P10" i="37"/>
  <c r="K13" i="30" s="1"/>
  <c r="O13" i="30" s="1"/>
  <c r="M16" i="49"/>
  <c r="V16" i="49" s="1"/>
  <c r="M17" i="49"/>
  <c r="V17" i="49" s="1"/>
  <c r="Z12" i="43"/>
  <c r="AC12" i="43" s="1"/>
  <c r="M18" i="49"/>
  <c r="V18" i="49" s="1"/>
  <c r="M15" i="49"/>
  <c r="V15" i="49" s="1"/>
  <c r="M19" i="49"/>
  <c r="T13" i="43"/>
  <c r="X8" i="46"/>
  <c r="X13" i="43"/>
  <c r="T8" i="44"/>
  <c r="T11" i="37"/>
  <c r="K25" i="30"/>
  <c r="O25" i="30" s="1"/>
  <c r="P8" i="44"/>
  <c r="Z7" i="44" s="1"/>
  <c r="X11" i="37"/>
  <c r="X12" i="49"/>
  <c r="T12" i="49"/>
  <c r="AB7" i="45"/>
  <c r="Z11" i="37" l="1"/>
  <c r="F7" i="50" s="1"/>
  <c r="Z10" i="37"/>
  <c r="AC10" i="37" s="1"/>
  <c r="R19" i="49"/>
  <c r="V19" i="49"/>
  <c r="S18" i="43"/>
  <c r="T18" i="43" s="1"/>
  <c r="S17" i="43"/>
  <c r="T17" i="43" s="1"/>
  <c r="AB16" i="51"/>
  <c r="U16" i="51"/>
  <c r="AB15" i="51"/>
  <c r="U15" i="51"/>
  <c r="AB14" i="51"/>
  <c r="W14" i="51"/>
  <c r="V17" i="51" s="1"/>
  <c r="X14" i="51" s="1"/>
  <c r="N15" i="49"/>
  <c r="O15" i="49" s="1"/>
  <c r="R15" i="49"/>
  <c r="S15" i="49" s="1"/>
  <c r="O17" i="49"/>
  <c r="R17" i="49"/>
  <c r="S17" i="49" s="1"/>
  <c r="T17" i="49" s="1"/>
  <c r="N18" i="49"/>
  <c r="O18" i="49" s="1"/>
  <c r="R18" i="49"/>
  <c r="S18" i="49" s="1"/>
  <c r="T18" i="49" s="1"/>
  <c r="N16" i="49"/>
  <c r="O16" i="49" s="1"/>
  <c r="R16" i="49"/>
  <c r="S16" i="49" s="1"/>
  <c r="T16" i="49" s="1"/>
  <c r="S19" i="49"/>
  <c r="T19" i="49" s="1"/>
  <c r="O16" i="51"/>
  <c r="O14" i="51"/>
  <c r="Z12" i="49"/>
  <c r="F9" i="50" s="1"/>
  <c r="N15" i="51"/>
  <c r="O15" i="51" s="1"/>
  <c r="N19" i="49"/>
  <c r="O19" i="49" s="1"/>
  <c r="AQ25" i="36"/>
  <c r="AT25" i="36" s="1"/>
  <c r="Y20" i="43" l="1"/>
  <c r="J25" i="30" s="1"/>
  <c r="Y20" i="49"/>
  <c r="J17" i="30" s="1"/>
  <c r="T20" i="43"/>
  <c r="O20" i="49"/>
  <c r="O17" i="51"/>
  <c r="M16" i="48"/>
  <c r="M15" i="48"/>
  <c r="M8" i="40"/>
  <c r="N8" i="40"/>
  <c r="O8" i="40"/>
  <c r="U8" i="40"/>
  <c r="Y8" i="40"/>
  <c r="R15" i="48" l="1"/>
  <c r="X15" i="48"/>
  <c r="Z15" i="48" s="1"/>
  <c r="R16" i="48"/>
  <c r="S16" i="48" s="1"/>
  <c r="T16" i="48" s="1"/>
  <c r="X16" i="48"/>
  <c r="N15" i="48"/>
  <c r="O15" i="48" s="1"/>
  <c r="N16" i="48"/>
  <c r="O16" i="48" s="1"/>
  <c r="AX11" i="52"/>
  <c r="AX13" i="52"/>
  <c r="AX10" i="52"/>
  <c r="AX12" i="52"/>
  <c r="AX9" i="52"/>
  <c r="AM12" i="28"/>
  <c r="AC12" i="28"/>
  <c r="AG17" i="28" l="1"/>
  <c r="AG16" i="28"/>
  <c r="AG15" i="28"/>
  <c r="AJ15" i="28" s="1"/>
  <c r="W17" i="28"/>
  <c r="AI17" i="28" s="1"/>
  <c r="W16" i="28"/>
  <c r="AI16" i="28" s="1"/>
  <c r="M17" i="28"/>
  <c r="AH17" i="28" s="1"/>
  <c r="M16" i="28"/>
  <c r="X16" i="28" l="1"/>
  <c r="AH16" i="28"/>
  <c r="AJ16" i="28" s="1"/>
  <c r="AJ17" i="28"/>
  <c r="AG19" i="28"/>
  <c r="AK15" i="28" s="1"/>
  <c r="J7" i="30" s="1"/>
  <c r="Y16" i="28"/>
  <c r="N17" i="28"/>
  <c r="X17" i="28"/>
  <c r="Y17" i="28" s="1"/>
  <c r="W19" i="28"/>
  <c r="Z15" i="28" s="1"/>
  <c r="N16" i="28"/>
  <c r="M19" i="28"/>
  <c r="T8" i="46"/>
  <c r="L28" i="30" s="1"/>
  <c r="M25" i="30"/>
  <c r="O15" i="28" l="1"/>
  <c r="N25" i="30"/>
  <c r="AM21" i="52"/>
  <c r="AN19" i="52" s="1"/>
  <c r="J19" i="30" s="1"/>
  <c r="N19" i="30" s="1"/>
  <c r="AT15" i="52"/>
  <c r="AP15" i="52"/>
  <c r="AO15" i="52"/>
  <c r="AN15" i="52"/>
  <c r="AI15" i="52"/>
  <c r="AD15" i="52"/>
  <c r="AC15" i="52"/>
  <c r="AB15" i="52"/>
  <c r="AA15" i="52"/>
  <c r="Z15" i="52"/>
  <c r="Y15" i="52"/>
  <c r="X15" i="52"/>
  <c r="S15" i="52"/>
  <c r="R15" i="52"/>
  <c r="Q15" i="52"/>
  <c r="P15" i="52"/>
  <c r="O15" i="52"/>
  <c r="N15" i="52"/>
  <c r="M15" i="52"/>
  <c r="AD14" i="51"/>
  <c r="AE14" i="51" s="1"/>
  <c r="AH10" i="51"/>
  <c r="AD10" i="51"/>
  <c r="AC10" i="51"/>
  <c r="AB10" i="51"/>
  <c r="W10" i="51"/>
  <c r="V10" i="51"/>
  <c r="U10" i="51"/>
  <c r="T10" i="51"/>
  <c r="P10" i="51"/>
  <c r="O10" i="51"/>
  <c r="N10" i="51"/>
  <c r="M10" i="51"/>
  <c r="AL9" i="51" l="1"/>
  <c r="AH15" i="52"/>
  <c r="AV15" i="52"/>
  <c r="AX14" i="52"/>
  <c r="AW15" i="52"/>
  <c r="Z10" i="51"/>
  <c r="AJ10" i="51"/>
  <c r="AK10" i="51"/>
  <c r="AL8" i="51"/>
  <c r="AC9" i="49"/>
  <c r="AC11" i="49"/>
  <c r="AC10" i="49"/>
  <c r="AC7" i="49"/>
  <c r="M19" i="30" l="1"/>
  <c r="Q19" i="30" s="1"/>
  <c r="M18" i="30"/>
  <c r="Q18" i="30" s="1"/>
  <c r="AD16" i="51"/>
  <c r="AE16" i="51" s="1"/>
  <c r="AD15" i="51"/>
  <c r="AE15" i="51" s="1"/>
  <c r="L19" i="30"/>
  <c r="P19" i="30" s="1"/>
  <c r="L18" i="30"/>
  <c r="P18" i="30" s="1"/>
  <c r="AX8" i="52"/>
  <c r="AX7" i="52"/>
  <c r="Y12" i="49"/>
  <c r="M17" i="30"/>
  <c r="AB12" i="49"/>
  <c r="AA12" i="49"/>
  <c r="L17" i="30" s="1"/>
  <c r="Q15" i="48"/>
  <c r="Y10" i="48"/>
  <c r="U10" i="48"/>
  <c r="M10" i="48"/>
  <c r="AA15" i="48" l="1"/>
  <c r="AA17" i="48" s="1"/>
  <c r="AB14" i="48" s="1"/>
  <c r="J16" i="30" s="1"/>
  <c r="AE17" i="51"/>
  <c r="AF14" i="51" s="1"/>
  <c r="J18" i="30" s="1"/>
  <c r="N18" i="30" s="1"/>
  <c r="S15" i="48"/>
  <c r="T15" i="48" s="1"/>
  <c r="AX15" i="52"/>
  <c r="AC8" i="49"/>
  <c r="AC12" i="49" s="1"/>
  <c r="K17" i="30" s="1"/>
  <c r="O17" i="30" s="1"/>
  <c r="Q10" i="48"/>
  <c r="Z10" i="48"/>
  <c r="S7" i="50" s="1"/>
  <c r="P9" i="47"/>
  <c r="Y11" i="47"/>
  <c r="U11" i="47"/>
  <c r="Q11" i="47"/>
  <c r="M11" i="47"/>
  <c r="Z9" i="47" l="1"/>
  <c r="AC9" i="47" s="1"/>
  <c r="M18" i="47"/>
  <c r="K19" i="30"/>
  <c r="O19" i="30" s="1"/>
  <c r="N17" i="47"/>
  <c r="T11" i="47"/>
  <c r="T10" i="48"/>
  <c r="AC9" i="48"/>
  <c r="X10" i="48"/>
  <c r="M16" i="30" s="1"/>
  <c r="AB10" i="48"/>
  <c r="P11" i="47"/>
  <c r="AA11" i="47"/>
  <c r="AB11" i="47"/>
  <c r="M14" i="30" s="1"/>
  <c r="X11" i="47"/>
  <c r="AC7" i="47"/>
  <c r="R18" i="47" l="1"/>
  <c r="X18" i="47" s="1"/>
  <c r="Y18" i="47" s="1"/>
  <c r="N18" i="47"/>
  <c r="M20" i="47"/>
  <c r="L14" i="30"/>
  <c r="Z11" i="47"/>
  <c r="F8" i="50" s="1"/>
  <c r="AC11" i="47"/>
  <c r="K14" i="30" s="1"/>
  <c r="O14" i="30" s="1"/>
  <c r="AC8" i="48"/>
  <c r="S18" i="47" l="1"/>
  <c r="T18" i="47" s="1"/>
  <c r="Z18" i="47"/>
  <c r="AA16" i="47" s="1"/>
  <c r="J14" i="30" s="1"/>
  <c r="Y8" i="46"/>
  <c r="Y8" i="45"/>
  <c r="Y8" i="44"/>
  <c r="Y13" i="43"/>
  <c r="Y8" i="42"/>
  <c r="U8" i="42"/>
  <c r="Q8" i="42"/>
  <c r="M8" i="42"/>
  <c r="X7" i="42"/>
  <c r="T7" i="42"/>
  <c r="AA7" i="42" s="1"/>
  <c r="AA8" i="42" s="1"/>
  <c r="P7" i="42"/>
  <c r="Z7" i="42" s="1"/>
  <c r="Z8" i="42" s="1"/>
  <c r="Y8" i="41"/>
  <c r="M8" i="41"/>
  <c r="AA8" i="40"/>
  <c r="Z8" i="40"/>
  <c r="J21" i="30" l="1"/>
  <c r="S10" i="50"/>
  <c r="T8" i="40"/>
  <c r="L21" i="30" s="1"/>
  <c r="T8" i="42"/>
  <c r="P8" i="40"/>
  <c r="X8" i="40"/>
  <c r="M21" i="30" s="1"/>
  <c r="X8" i="42"/>
  <c r="P8" i="41"/>
  <c r="K23" i="30" s="1"/>
  <c r="O23" i="30" s="1"/>
  <c r="P8" i="42"/>
  <c r="K24" i="30" s="1"/>
  <c r="O24" i="30" s="1"/>
  <c r="AA8" i="46"/>
  <c r="AB8" i="46"/>
  <c r="AA8" i="45"/>
  <c r="AB8" i="45"/>
  <c r="L26" i="30"/>
  <c r="AA13" i="43"/>
  <c r="Z13" i="43"/>
  <c r="S12" i="50" s="1"/>
  <c r="Z8" i="46"/>
  <c r="Z8" i="45"/>
  <c r="AA8" i="44"/>
  <c r="Z8" i="44"/>
  <c r="AB8" i="44"/>
  <c r="Q25" i="30"/>
  <c r="AB13" i="43"/>
  <c r="AB7" i="42"/>
  <c r="AB8" i="40"/>
  <c r="L25" i="30" l="1"/>
  <c r="P25" i="30" s="1"/>
  <c r="AC9" i="43"/>
  <c r="AC7" i="46"/>
  <c r="AC8" i="46" s="1"/>
  <c r="AC7" i="45"/>
  <c r="AC8" i="45" s="1"/>
  <c r="AC7" i="44"/>
  <c r="AC8" i="44" s="1"/>
  <c r="O26" i="30" s="1"/>
  <c r="AC7" i="43"/>
  <c r="AC7" i="42"/>
  <c r="AC8" i="42" s="1"/>
  <c r="AB8" i="42"/>
  <c r="AC7" i="41"/>
  <c r="AC8" i="41" s="1"/>
  <c r="AC7" i="40"/>
  <c r="O28" i="30" l="1"/>
  <c r="O27" i="30"/>
  <c r="AC13" i="43"/>
  <c r="AC8" i="40"/>
  <c r="Y8" i="39"/>
  <c r="Q8" i="39"/>
  <c r="BO8" i="38"/>
  <c r="BK8" i="38"/>
  <c r="BI8" i="38"/>
  <c r="BH8" i="38"/>
  <c r="BG8" i="38"/>
  <c r="BF8" i="38"/>
  <c r="BE8" i="38"/>
  <c r="AW8" i="38"/>
  <c r="AV8" i="38"/>
  <c r="AR8" i="38"/>
  <c r="AQ8" i="38"/>
  <c r="AP8" i="38"/>
  <c r="AJ8" i="38"/>
  <c r="AI8" i="38"/>
  <c r="AH8" i="38"/>
  <c r="AG8" i="38"/>
  <c r="AF8" i="38"/>
  <c r="Y11" i="37"/>
  <c r="AS20" i="36"/>
  <c r="AS26" i="36" s="1"/>
  <c r="M12" i="30" s="1"/>
  <c r="AR20" i="36"/>
  <c r="AR22" i="36"/>
  <c r="AQ20" i="36"/>
  <c r="AP26" i="36"/>
  <c r="AL26" i="36"/>
  <c r="AK26" i="36"/>
  <c r="AJ26" i="36"/>
  <c r="AI26" i="36"/>
  <c r="AH26" i="36"/>
  <c r="AG26" i="36"/>
  <c r="AC26" i="36"/>
  <c r="AA26" i="36"/>
  <c r="Z26" i="36"/>
  <c r="Y26" i="36"/>
  <c r="X26" i="36"/>
  <c r="W26" i="36"/>
  <c r="N26" i="36"/>
  <c r="AR26" i="36" l="1"/>
  <c r="J12" i="30" s="1"/>
  <c r="AQ26" i="36"/>
  <c r="K21" i="30"/>
  <c r="O21" i="30" s="1"/>
  <c r="AT18" i="36"/>
  <c r="AT10" i="36"/>
  <c r="L13" i="30"/>
  <c r="AC7" i="37"/>
  <c r="AT17" i="36"/>
  <c r="AT9" i="36"/>
  <c r="AT15" i="36"/>
  <c r="AT21" i="36"/>
  <c r="AT19" i="36"/>
  <c r="AT14" i="36"/>
  <c r="AT13" i="36"/>
  <c r="AT11" i="36"/>
  <c r="AT7" i="36"/>
  <c r="AT20" i="36"/>
  <c r="AT16" i="36"/>
  <c r="AT12" i="36"/>
  <c r="AT8" i="36"/>
  <c r="BN8" i="38"/>
  <c r="M15" i="30" s="1"/>
  <c r="AB8" i="39"/>
  <c r="X8" i="39"/>
  <c r="M20" i="30" s="1"/>
  <c r="T8" i="39"/>
  <c r="L20" i="30" s="1"/>
  <c r="P8" i="39"/>
  <c r="Z8" i="39"/>
  <c r="AA8" i="39"/>
  <c r="AE8" i="38"/>
  <c r="AU8" i="38"/>
  <c r="L15" i="30" s="1"/>
  <c r="BQ8" i="38"/>
  <c r="BP8" i="38"/>
  <c r="S6" i="50" s="1"/>
  <c r="BR8" i="38"/>
  <c r="AB11" i="37"/>
  <c r="AC9" i="37"/>
  <c r="AC8" i="37"/>
  <c r="AO26" i="36"/>
  <c r="AT22" i="36"/>
  <c r="J20" i="30" l="1"/>
  <c r="S9" i="50"/>
  <c r="C17" i="50"/>
  <c r="G4" i="50"/>
  <c r="L12" i="30"/>
  <c r="M13" i="30"/>
  <c r="AT26" i="36"/>
  <c r="Q15" i="30"/>
  <c r="AA11" i="37"/>
  <c r="J13" i="30" s="1"/>
  <c r="BS7" i="38"/>
  <c r="BS8" i="38" s="1"/>
  <c r="K15" i="30" s="1"/>
  <c r="O15" i="30" s="1"/>
  <c r="AC11" i="37"/>
  <c r="AC8" i="39" l="1"/>
  <c r="Y8" i="35"/>
  <c r="U8" i="35"/>
  <c r="Q8" i="35"/>
  <c r="M8" i="35"/>
  <c r="BA11" i="34"/>
  <c r="AW11" i="34"/>
  <c r="AS11" i="34"/>
  <c r="AQ11" i="34"/>
  <c r="AP11" i="34"/>
  <c r="AO11" i="34"/>
  <c r="AN11" i="34"/>
  <c r="AJ11" i="34"/>
  <c r="AF11" i="34"/>
  <c r="AE11" i="34"/>
  <c r="AD11" i="34"/>
  <c r="AC11" i="34"/>
  <c r="AB11" i="34"/>
  <c r="AA11" i="34"/>
  <c r="R11" i="34"/>
  <c r="Q11" i="34"/>
  <c r="P11" i="34"/>
  <c r="O11" i="34"/>
  <c r="M11" i="34"/>
  <c r="AN16" i="34"/>
  <c r="AQ16" i="34" s="1"/>
  <c r="DH8" i="33"/>
  <c r="CQ8" i="33"/>
  <c r="CP8" i="33"/>
  <c r="CB8" i="33"/>
  <c r="CA8" i="33"/>
  <c r="BJ8" i="33"/>
  <c r="AV8" i="33"/>
  <c r="AU8" i="33"/>
  <c r="AT8" i="33"/>
  <c r="AC8" i="33"/>
  <c r="AB8" i="33"/>
  <c r="Q8" i="33"/>
  <c r="P8" i="33"/>
  <c r="O8" i="33"/>
  <c r="N8" i="33"/>
  <c r="M8" i="33"/>
  <c r="AV7" i="32"/>
  <c r="AS8" i="32"/>
  <c r="L6" i="50" s="1"/>
  <c r="AO8" i="32"/>
  <c r="AN8" i="32"/>
  <c r="AM8" i="32"/>
  <c r="AL8" i="32"/>
  <c r="AK8" i="32"/>
  <c r="AJ8" i="32"/>
  <c r="AI8" i="32"/>
  <c r="AH8" i="32"/>
  <c r="AD8" i="32"/>
  <c r="AC8" i="32"/>
  <c r="AB8" i="32"/>
  <c r="AA8" i="32"/>
  <c r="Z8" i="32"/>
  <c r="Y8" i="32"/>
  <c r="X8" i="32"/>
  <c r="W8" i="32"/>
  <c r="S8" i="32"/>
  <c r="R8" i="32"/>
  <c r="Q8" i="32"/>
  <c r="P8" i="32"/>
  <c r="O8" i="32"/>
  <c r="N8" i="32"/>
  <c r="M8" i="32"/>
  <c r="AN18" i="34" l="1"/>
  <c r="AQ18" i="34" s="1"/>
  <c r="BE10" i="34"/>
  <c r="AQ19" i="34"/>
  <c r="BE8" i="34"/>
  <c r="AN17" i="34"/>
  <c r="AQ17" i="34" s="1"/>
  <c r="K20" i="30"/>
  <c r="O20" i="30" s="1"/>
  <c r="T8" i="35"/>
  <c r="AB8" i="35"/>
  <c r="X8" i="35"/>
  <c r="M9" i="30" s="1"/>
  <c r="Q9" i="30" s="1"/>
  <c r="Z8" i="35"/>
  <c r="S13" i="50" s="1"/>
  <c r="AA8" i="35"/>
  <c r="AZ11" i="34"/>
  <c r="AM11" i="34"/>
  <c r="BE9" i="34"/>
  <c r="BB11" i="34"/>
  <c r="L8" i="50" s="1"/>
  <c r="Z11" i="34"/>
  <c r="DJ8" i="33"/>
  <c r="L11" i="30" s="1"/>
  <c r="BZ8" i="33"/>
  <c r="DG8" i="33"/>
  <c r="M11" i="30" s="1"/>
  <c r="DI8" i="33"/>
  <c r="L9" i="50" s="1"/>
  <c r="AS8" i="33"/>
  <c r="K11" i="30" s="1"/>
  <c r="O11" i="30" s="1"/>
  <c r="DK8" i="33"/>
  <c r="AR8" i="32"/>
  <c r="AG8" i="32"/>
  <c r="L8" i="30" s="1"/>
  <c r="V8" i="32"/>
  <c r="BD11" i="34" l="1"/>
  <c r="AN20" i="34"/>
  <c r="AR16" i="34" s="1"/>
  <c r="J10" i="30" s="1"/>
  <c r="AC7" i="35"/>
  <c r="AC8" i="35" s="1"/>
  <c r="BC11" i="34"/>
  <c r="L10" i="30" s="1"/>
  <c r="BE7" i="34"/>
  <c r="BE11" i="34" s="1"/>
  <c r="DL7" i="33"/>
  <c r="DL8" i="33" s="1"/>
  <c r="AU8" i="32"/>
  <c r="AV8" i="32"/>
  <c r="AT8" i="32"/>
  <c r="AW7" i="32"/>
  <c r="M8" i="30" l="1"/>
  <c r="M10" i="30"/>
  <c r="K10" i="30"/>
  <c r="O10" i="30" s="1"/>
  <c r="AW8" i="32"/>
  <c r="K8" i="30" l="1"/>
  <c r="AF12" i="28"/>
  <c r="Q28" i="30"/>
  <c r="P28" i="30"/>
  <c r="N28" i="30"/>
  <c r="Q27" i="30"/>
  <c r="P27" i="30"/>
  <c r="N27" i="30"/>
  <c r="Q26" i="30"/>
  <c r="P26" i="30"/>
  <c r="N26" i="30"/>
  <c r="R25" i="30"/>
  <c r="Q24" i="30"/>
  <c r="P24" i="30"/>
  <c r="N24" i="30"/>
  <c r="Q23" i="30"/>
  <c r="P23" i="30"/>
  <c r="N23" i="30"/>
  <c r="Q22" i="30"/>
  <c r="P22" i="30"/>
  <c r="N22" i="30"/>
  <c r="Q21" i="30"/>
  <c r="P21" i="30"/>
  <c r="N21" i="30"/>
  <c r="Q20" i="30"/>
  <c r="P20" i="30"/>
  <c r="N20" i="30"/>
  <c r="Q17" i="30"/>
  <c r="P17" i="30"/>
  <c r="Q16" i="30"/>
  <c r="P16" i="30"/>
  <c r="P15" i="30"/>
  <c r="N15" i="30"/>
  <c r="Q14" i="30"/>
  <c r="P14" i="30"/>
  <c r="N14" i="30"/>
  <c r="Q13" i="30"/>
  <c r="P13" i="30"/>
  <c r="N13" i="30"/>
  <c r="Q12" i="30"/>
  <c r="P12" i="30"/>
  <c r="N12" i="30"/>
  <c r="Q11" i="30"/>
  <c r="P11" i="30"/>
  <c r="N11" i="30"/>
  <c r="Q10" i="30"/>
  <c r="P10" i="30"/>
  <c r="N10" i="30"/>
  <c r="P9" i="30"/>
  <c r="N9" i="30"/>
  <c r="Q8" i="30"/>
  <c r="P8" i="30"/>
  <c r="R8" i="30" l="1"/>
  <c r="R9" i="30"/>
  <c r="R10" i="30"/>
  <c r="R11" i="30"/>
  <c r="R12" i="30"/>
  <c r="R13" i="30"/>
  <c r="R14" i="30"/>
  <c r="R15" i="30"/>
  <c r="R19" i="30"/>
  <c r="R20" i="30"/>
  <c r="R21" i="30"/>
  <c r="R22" i="30"/>
  <c r="R23" i="30"/>
  <c r="R24" i="30"/>
  <c r="R26" i="30"/>
  <c r="R27" i="30"/>
  <c r="R28" i="30"/>
  <c r="AQ12" i="28"/>
  <c r="AH12" i="28"/>
  <c r="AI12" i="28"/>
  <c r="AJ12" i="28"/>
  <c r="AK12" i="28"/>
  <c r="AL12" i="28"/>
  <c r="AG12" i="28"/>
  <c r="X12" i="28"/>
  <c r="Y12" i="28"/>
  <c r="Z12" i="28"/>
  <c r="AA12" i="28"/>
  <c r="AB12" i="28"/>
  <c r="W12" i="28"/>
  <c r="AP12" i="28" l="1"/>
  <c r="AU7" i="28" l="1"/>
  <c r="AR11" i="28"/>
  <c r="AS8" i="28" l="1"/>
  <c r="AR12" i="28"/>
  <c r="L11" i="50" s="1"/>
  <c r="AS9" i="28" l="1"/>
  <c r="AT11" i="28"/>
  <c r="AS11" i="28"/>
  <c r="AU8" i="28"/>
  <c r="AU9" i="28" l="1"/>
  <c r="AU11" i="28"/>
  <c r="AS12" i="28"/>
  <c r="AT12" i="28"/>
  <c r="M7" i="30" l="1"/>
  <c r="L7" i="30"/>
  <c r="AU12" i="28"/>
  <c r="K7" i="30" s="1"/>
  <c r="O7" i="30" s="1"/>
  <c r="Q68" i="1"/>
  <c r="P68" i="1"/>
  <c r="O68" i="1"/>
  <c r="N68" i="1"/>
  <c r="Q67" i="1"/>
  <c r="P67" i="1"/>
  <c r="O67" i="1"/>
  <c r="N67" i="1"/>
  <c r="Q66" i="1"/>
  <c r="P66" i="1"/>
  <c r="O66" i="1"/>
  <c r="N66" i="1"/>
  <c r="Q65" i="1"/>
  <c r="P65" i="1"/>
  <c r="O65" i="1"/>
  <c r="N65" i="1"/>
  <c r="Q64" i="1"/>
  <c r="P64" i="1"/>
  <c r="O64" i="1"/>
  <c r="N64" i="1"/>
  <c r="Q63" i="1"/>
  <c r="P63" i="1"/>
  <c r="O63" i="1"/>
  <c r="N63" i="1"/>
  <c r="Q62" i="1"/>
  <c r="P62" i="1"/>
  <c r="O62" i="1"/>
  <c r="N62" i="1"/>
  <c r="R62" i="1" s="1"/>
  <c r="Q61" i="1"/>
  <c r="P61" i="1"/>
  <c r="O61" i="1"/>
  <c r="N61" i="1"/>
  <c r="Q60" i="1"/>
  <c r="P60" i="1"/>
  <c r="O60" i="1"/>
  <c r="N60" i="1"/>
  <c r="Q59" i="1"/>
  <c r="P59" i="1"/>
  <c r="O59" i="1"/>
  <c r="N59" i="1"/>
  <c r="Q58" i="1"/>
  <c r="P58" i="1"/>
  <c r="O58" i="1"/>
  <c r="N58" i="1"/>
  <c r="Q57" i="1"/>
  <c r="P57" i="1"/>
  <c r="O57" i="1"/>
  <c r="N57" i="1"/>
  <c r="Q56" i="1"/>
  <c r="P56" i="1"/>
  <c r="O56" i="1"/>
  <c r="N56" i="1"/>
  <c r="Q55" i="1"/>
  <c r="P55" i="1"/>
  <c r="O55" i="1"/>
  <c r="N55" i="1"/>
  <c r="Q54" i="1"/>
  <c r="P54" i="1"/>
  <c r="O54" i="1"/>
  <c r="N54" i="1"/>
  <c r="Q53" i="1"/>
  <c r="P53" i="1"/>
  <c r="O53" i="1"/>
  <c r="N53" i="1"/>
  <c r="Q52" i="1"/>
  <c r="P52" i="1"/>
  <c r="O52" i="1"/>
  <c r="N52" i="1"/>
  <c r="Q51" i="1"/>
  <c r="P51" i="1"/>
  <c r="O51" i="1"/>
  <c r="N51" i="1"/>
  <c r="Q50" i="1"/>
  <c r="P50" i="1"/>
  <c r="O50" i="1"/>
  <c r="N50" i="1"/>
  <c r="Q49" i="1"/>
  <c r="P49" i="1"/>
  <c r="O49" i="1"/>
  <c r="N49" i="1"/>
  <c r="Q48" i="1"/>
  <c r="P48" i="1"/>
  <c r="O48" i="1"/>
  <c r="N48" i="1"/>
  <c r="Q47" i="1"/>
  <c r="P47" i="1"/>
  <c r="O47" i="1"/>
  <c r="N47" i="1"/>
  <c r="Q46" i="1"/>
  <c r="P46" i="1"/>
  <c r="O46" i="1"/>
  <c r="N46" i="1"/>
  <c r="Q45" i="1"/>
  <c r="P45" i="1"/>
  <c r="O45" i="1"/>
  <c r="N45" i="1"/>
  <c r="Q44" i="1"/>
  <c r="P44" i="1"/>
  <c r="O44" i="1"/>
  <c r="N44" i="1"/>
  <c r="Q43" i="1"/>
  <c r="P43" i="1"/>
  <c r="O43" i="1"/>
  <c r="N43" i="1"/>
  <c r="Q42" i="1"/>
  <c r="P42" i="1"/>
  <c r="O42" i="1"/>
  <c r="N42" i="1"/>
  <c r="Q41" i="1"/>
  <c r="P41" i="1"/>
  <c r="O41" i="1"/>
  <c r="N41" i="1"/>
  <c r="Q40" i="1"/>
  <c r="P40" i="1"/>
  <c r="O40" i="1"/>
  <c r="N40" i="1"/>
  <c r="Q39" i="1"/>
  <c r="P39" i="1"/>
  <c r="O39" i="1"/>
  <c r="N39" i="1"/>
  <c r="Q38" i="1"/>
  <c r="P38" i="1"/>
  <c r="O38" i="1"/>
  <c r="N38" i="1"/>
  <c r="Q37" i="1"/>
  <c r="P37" i="1"/>
  <c r="O37" i="1"/>
  <c r="N37" i="1"/>
  <c r="Q36" i="1"/>
  <c r="P36" i="1"/>
  <c r="O36" i="1"/>
  <c r="N36" i="1"/>
  <c r="Q35" i="1"/>
  <c r="P35" i="1"/>
  <c r="O35" i="1"/>
  <c r="N35" i="1"/>
  <c r="Q34" i="1"/>
  <c r="P34" i="1"/>
  <c r="O34" i="1"/>
  <c r="N34" i="1"/>
  <c r="Q33" i="1"/>
  <c r="P33" i="1"/>
  <c r="O33" i="1"/>
  <c r="N33" i="1"/>
  <c r="Q32" i="1"/>
  <c r="P32" i="1"/>
  <c r="O32" i="1"/>
  <c r="N32" i="1"/>
  <c r="Q31" i="1"/>
  <c r="P31" i="1"/>
  <c r="O31" i="1"/>
  <c r="N31" i="1"/>
  <c r="Q30" i="1"/>
  <c r="P30" i="1"/>
  <c r="O30" i="1"/>
  <c r="N30" i="1"/>
  <c r="Q29" i="1"/>
  <c r="P29" i="1"/>
  <c r="O29" i="1"/>
  <c r="N29" i="1"/>
  <c r="Q28" i="1"/>
  <c r="P28" i="1"/>
  <c r="O28" i="1"/>
  <c r="N28" i="1"/>
  <c r="Q27" i="1"/>
  <c r="P27" i="1"/>
  <c r="O27" i="1"/>
  <c r="N27" i="1"/>
  <c r="Q26" i="1"/>
  <c r="P26" i="1"/>
  <c r="O26" i="1"/>
  <c r="N26" i="1"/>
  <c r="Q25" i="1"/>
  <c r="P25" i="1"/>
  <c r="O25" i="1"/>
  <c r="N25" i="1"/>
  <c r="Q24" i="1"/>
  <c r="P24" i="1"/>
  <c r="O24" i="1"/>
  <c r="N24" i="1"/>
  <c r="Q23" i="1"/>
  <c r="P23" i="1"/>
  <c r="O23" i="1"/>
  <c r="N23" i="1"/>
  <c r="Q22" i="1"/>
  <c r="P22" i="1"/>
  <c r="O22" i="1"/>
  <c r="N22" i="1"/>
  <c r="Q21" i="1"/>
  <c r="P21" i="1"/>
  <c r="O21" i="1"/>
  <c r="N21" i="1"/>
  <c r="Q20" i="1"/>
  <c r="P20" i="1"/>
  <c r="O20" i="1"/>
  <c r="N20" i="1"/>
  <c r="Q19" i="1"/>
  <c r="P19" i="1"/>
  <c r="O19" i="1"/>
  <c r="N19" i="1"/>
  <c r="Q18" i="1"/>
  <c r="P18" i="1"/>
  <c r="O18" i="1"/>
  <c r="N18" i="1"/>
  <c r="Q17" i="1"/>
  <c r="P17" i="1"/>
  <c r="O17" i="1"/>
  <c r="N17" i="1"/>
  <c r="Q16" i="1"/>
  <c r="P16" i="1"/>
  <c r="O16" i="1"/>
  <c r="N16" i="1"/>
  <c r="Q15" i="1"/>
  <c r="P15" i="1"/>
  <c r="O15" i="1"/>
  <c r="N15" i="1"/>
  <c r="Q14" i="1"/>
  <c r="P14" i="1"/>
  <c r="O14" i="1"/>
  <c r="N14" i="1"/>
  <c r="Q13" i="1"/>
  <c r="P13" i="1"/>
  <c r="O13" i="1"/>
  <c r="N13" i="1"/>
  <c r="Q12" i="1"/>
  <c r="P12" i="1"/>
  <c r="O12" i="1"/>
  <c r="N12" i="1"/>
  <c r="Q11" i="1"/>
  <c r="P11" i="1"/>
  <c r="O11" i="1"/>
  <c r="N11" i="1"/>
  <c r="Q10" i="1"/>
  <c r="P10" i="1"/>
  <c r="O10" i="1"/>
  <c r="N10" i="1"/>
  <c r="Q9" i="1"/>
  <c r="P9" i="1"/>
  <c r="O9" i="1"/>
  <c r="N9" i="1"/>
  <c r="Q8" i="1"/>
  <c r="P8" i="1"/>
  <c r="O8" i="1"/>
  <c r="N8" i="1"/>
  <c r="Q7" i="1"/>
  <c r="P7" i="1"/>
  <c r="N7" i="1"/>
  <c r="Q7" i="30" l="1"/>
  <c r="Q29" i="30" s="1"/>
  <c r="M29" i="30"/>
  <c r="C18" i="50"/>
  <c r="N4" i="50"/>
  <c r="P7" i="30"/>
  <c r="P29" i="30" s="1"/>
  <c r="L29" i="30"/>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3" i="1"/>
  <c r="R64" i="1"/>
  <c r="R65" i="1"/>
  <c r="R66" i="1"/>
  <c r="R67" i="1"/>
  <c r="R68" i="1"/>
  <c r="R7" i="30" l="1"/>
  <c r="R69" i="1"/>
  <c r="AI10" i="51" l="1"/>
  <c r="S8" i="50" s="1"/>
  <c r="AL7" i="51"/>
  <c r="AL10" i="51" s="1"/>
  <c r="K18" i="30" s="1"/>
  <c r="O18" i="30" s="1"/>
  <c r="AC7" i="48"/>
  <c r="AC10" i="48" s="1"/>
  <c r="K16" i="30" s="1"/>
  <c r="O16" i="30" s="1"/>
  <c r="M14" i="48"/>
  <c r="X14" i="48" s="1"/>
  <c r="C19" i="50" l="1"/>
  <c r="D16" i="50" s="1"/>
  <c r="T15" i="50"/>
  <c r="N14" i="48"/>
  <c r="O14" i="48" s="1"/>
  <c r="O17" i="48" s="1"/>
  <c r="R14" i="48"/>
  <c r="S14" i="48" s="1"/>
  <c r="T14" i="48" s="1"/>
  <c r="T17" i="48" s="1"/>
  <c r="U14" i="48" s="1"/>
  <c r="K29" i="30"/>
  <c r="R18" i="30"/>
  <c r="N16" i="30" l="1"/>
  <c r="R16" i="30" s="1"/>
  <c r="V4" i="50"/>
  <c r="O29" i="30" l="1"/>
  <c r="T15" i="49" l="1"/>
  <c r="T20" i="49" s="1"/>
  <c r="N17" i="30" s="1"/>
  <c r="R17" i="30" l="1"/>
  <c r="R29" i="30" s="1"/>
  <c r="N29"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CALIDAD03</author>
  </authors>
  <commentList>
    <comment ref="M7" authorId="0" shapeId="0" xr:uid="{00000000-0006-0000-1600-000001000000}">
      <text>
        <r>
          <rPr>
            <b/>
            <sz val="9"/>
            <color indexed="81"/>
            <rFont val="Tahoma"/>
            <family val="2"/>
          </rPr>
          <t>CALIDAD03:</t>
        </r>
        <r>
          <rPr>
            <sz val="9"/>
            <color indexed="81"/>
            <rFont val="Tahoma"/>
            <family val="2"/>
          </rPr>
          <t xml:space="preserve">
Debido a la transición de cargo de coordinador que esta sucediendo en el proceso de Gestión farmaceutica, y no contar con una entrega de información óptima, para este trimestre no es posible realizar por parte del responsable de POA, seguimiento al cumplimiento de las actividades programadas en el plan de Trabajo</t>
        </r>
      </text>
    </comment>
  </commentList>
</comments>
</file>

<file path=xl/sharedStrings.xml><?xml version="1.0" encoding="utf-8"?>
<sst xmlns="http://schemas.openxmlformats.org/spreadsheetml/2006/main" count="3026" uniqueCount="845">
  <si>
    <t>ESE HOSPITAL UNIVERSITARIO SAN RAFAEL DE TUNJA</t>
  </si>
  <si>
    <t>PILAR O EJE DE PLAN DE DESARROLLO</t>
  </si>
  <si>
    <t xml:space="preserve">PROGRAMA ESTRÁTEGICO </t>
  </si>
  <si>
    <t>OBJETIVO ESTRÁTEGICO</t>
  </si>
  <si>
    <t>META PERIODO</t>
  </si>
  <si>
    <t xml:space="preserve">META VIGENCIA </t>
  </si>
  <si>
    <t>NOMBRE INDICADOR</t>
  </si>
  <si>
    <t xml:space="preserve">INDICADOR / FÓRMULA </t>
  </si>
  <si>
    <t>META INDICADOR</t>
  </si>
  <si>
    <t xml:space="preserve">REPONSABLE </t>
  </si>
  <si>
    <t>RESULTADOS CUMPLIMIENTO POR TRIMESTRE</t>
  </si>
  <si>
    <t>AVANCES  SEGÚN  CUMPLIMIENTO DE META</t>
  </si>
  <si>
    <t>RESULTADO 1 ER TRIMESTRE</t>
  </si>
  <si>
    <t>RESULTADO 2 DO TRIMESTRE</t>
  </si>
  <si>
    <t>RESULTADO 3ER TRIMESTRE</t>
  </si>
  <si>
    <t>RESULTADO 4TO TRIMESTRE</t>
  </si>
  <si>
    <t xml:space="preserve">            
   1er TRIMESTRE</t>
  </si>
  <si>
    <t>2o  TRIMESTRE</t>
  </si>
  <si>
    <t xml:space="preserve"> 3er 
TRIMESTRE</t>
  </si>
  <si>
    <t xml:space="preserve"> 4o 
TRIMESTRE</t>
  </si>
  <si>
    <t>AVANCE ACUMULADO</t>
  </si>
  <si>
    <t>HUMANIZACIÓN DE LOS SERVICIOS SALUD</t>
  </si>
  <si>
    <t>Programa de Humanización que involucre la sensibilización del talento humano con enfoque tanto para cliente interno y externo.</t>
  </si>
  <si>
    <t>Humanizar la atención como cultura de servicio y buen trato al Usuario y su familia</t>
  </si>
  <si>
    <t>Programa de Humanización implementado cliente interno y externo</t>
  </si>
  <si>
    <t>Adherencia al buen trato (UCI´s, Hospitalización, Urgencias)</t>
  </si>
  <si>
    <t>Número de ítems de la lista que se cumple / Total de ítems evaluados en el mismo periodo</t>
  </si>
  <si>
    <t>Coordinador Humanización</t>
  </si>
  <si>
    <t>Cobertura del programa de espacios de esparcimiento  a colaboradores</t>
  </si>
  <si>
    <t>Número de áreas impactadas / Número Total de áreas</t>
  </si>
  <si>
    <t>Gestión y Seguimiento intrahospitalario y Pos Egreso</t>
  </si>
  <si>
    <t>Número de Llamadas de Seguimiento a los Pacientes y sus Familias / Total de pacientes registrados en el periodo</t>
  </si>
  <si>
    <t>Seguimiento a las Intervenciones de las acciones priorizadas</t>
  </si>
  <si>
    <t>Número de ítems intervenidos / Número de ítems que no se cumplen</t>
  </si>
  <si>
    <t>ATENCIÓN CENTRADA EN EL USUARIO</t>
  </si>
  <si>
    <t>Modelo de atención articulado con los procesos institucionales, generando una implementación oportuna, pertinente, segura e integral para el Usuario y su familia.</t>
  </si>
  <si>
    <t>Consolidar un modelo de gestión y de prestación integral en la atención, que genere valor para el usuario y su familia.</t>
  </si>
  <si>
    <t>Implementación, Evaluación y Cumplimiento del Modelo con enfoque de Atención Primaria en Salud.</t>
  </si>
  <si>
    <t>Cumplimiento Global del modelo Gestión Clínica</t>
  </si>
  <si>
    <t>Total Indicadores que Superan la Meta / Total Indicadores del Programa por Vigencia</t>
  </si>
  <si>
    <t>Coordinador Clinicas Quirúgicas</t>
  </si>
  <si>
    <t>Cumplimiento Global del modelo Gestión Quirúrgica</t>
  </si>
  <si>
    <t>Cumplimiento Global del modelo Gestión Urgencias</t>
  </si>
  <si>
    <t>Cumplimiento Global del modelo Gestión UCI Adultos</t>
  </si>
  <si>
    <t>Cumplimiento Global del modelo Gestión UCI Pediátrica</t>
  </si>
  <si>
    <t>Cumplimiento Global del modelo Gestión UCI Neonatal</t>
  </si>
  <si>
    <t>Cumplimiento Global del modelo Gestión Consulta Externa y Servicios de Apoyo</t>
  </si>
  <si>
    <t>Cumplimiento Global del modelo Sede María Josefa Canelones</t>
  </si>
  <si>
    <t>GESTIÓN CLINICA EXCELENTE Y SEGURA</t>
  </si>
  <si>
    <t>Programa Gestión y minimización de los riesgos asociados a la atención en salud.</t>
  </si>
  <si>
    <t>Apropiar el proceso de acreditación en salud en los procesos organizacionales para fortalecer su mejora y cumplimiento</t>
  </si>
  <si>
    <t>Resultado autoevaluación con respecto a la vigencia anterior</t>
  </si>
  <si>
    <t>Resultado de la comparación entre 1,11 y 1,19</t>
  </si>
  <si>
    <t>Programa de Seguridad del Paciente implementado bajo el enfoque de adaptación y mitigación de riesgos</t>
  </si>
  <si>
    <t xml:space="preserve">Coordinador Seguridad del Paciente </t>
  </si>
  <si>
    <t>GESTION DE SERVICIOS</t>
  </si>
  <si>
    <t>Fortalecer y ampliar la integralidad en la prestación de servicios de salud de alta complejidad, articulados con redes integradas de atención y comunidad.</t>
  </si>
  <si>
    <t>Programa integralidad de alta complejidad y seguimiento comunitario.</t>
  </si>
  <si>
    <t>Implementación y evaluación del Programa integralidad de alta complejidad y seguimiento comunitario.</t>
  </si>
  <si>
    <t>Proyecto unidad de cancerología - fase 1</t>
  </si>
  <si>
    <t>Programa de rehabilitación pulmonar</t>
  </si>
  <si>
    <t>Programa clínica de osteoporosis</t>
  </si>
  <si>
    <t>Programa clínica de obesidad</t>
  </si>
  <si>
    <t>Programa de pie diabético</t>
  </si>
  <si>
    <t>Programa hospital seguro contra la trombosis</t>
  </si>
  <si>
    <t>Programa clínica de anticoagulación</t>
  </si>
  <si>
    <t>Programa de donación de órganos</t>
  </si>
  <si>
    <t>Comité de bioética</t>
  </si>
  <si>
    <t>Laboratorio de pruebas de función pulmonar</t>
  </si>
  <si>
    <t>Programa de accesos vasculares</t>
  </si>
  <si>
    <t>Retinología</t>
  </si>
  <si>
    <t>Programa de extensión comunitaria</t>
  </si>
  <si>
    <t>Microcirugía</t>
  </si>
  <si>
    <t>Endocrinología pediátrica</t>
  </si>
  <si>
    <t>Neumología pediátrica</t>
  </si>
  <si>
    <t>Psiquiatría infantil</t>
  </si>
  <si>
    <t>GESTIÓN DEL RIESGO</t>
  </si>
  <si>
    <t>Garantizar la gestión de los recursos que contribuyan a la competitividad y sostenibilidad de la organización.</t>
  </si>
  <si>
    <t>Programa de gestión institucional de los recursos financieros (PEGIF)</t>
  </si>
  <si>
    <t>Cumplimiento del Programa de Gestión Institucional de los Recursos Financieros</t>
  </si>
  <si>
    <t>Cumplimiento del programa de gestión institucional de los recursos financieros</t>
  </si>
  <si>
    <t>Coordinador Financiero</t>
  </si>
  <si>
    <t>Programa Gestión de Sistema de Costos</t>
  </si>
  <si>
    <t>Cumplimiento del Programa Gestión de Sistema de Costos</t>
  </si>
  <si>
    <t>Cumplimiento del Programa de Costos</t>
  </si>
  <si>
    <t>Fortalecimiento de la gestión del riesgo y prevención del daño antijurídico de la entidad</t>
  </si>
  <si>
    <t>Cumplimiento del programa de prevención del daño antijurídico</t>
  </si>
  <si>
    <t xml:space="preserve">No Adherencia a guías y /o protocolos </t>
  </si>
  <si>
    <t>Número de demandas asociadas a lo No Adherencia a las guías de manejo clínico  / Número total de demandas presentadas en la vigencia</t>
  </si>
  <si>
    <t>Asesor Jurídico</t>
  </si>
  <si>
    <t>Eventos Adversos</t>
  </si>
  <si>
    <t>Número de demandas asociadas a eventos adversos / Número total de demandas presentadas en la vigencia</t>
  </si>
  <si>
    <t>No reconocimiento de los derechos laborales por el tipo de vinculación laboral o contractual</t>
  </si>
  <si>
    <t>Número de demandas interpuestas por derechos laborales / Número total de demandas presentadas en la vigencia</t>
  </si>
  <si>
    <t>Programa de Gestión y Desempeño Institucional</t>
  </si>
  <si>
    <t>Índice de Desempeño Institucional</t>
  </si>
  <si>
    <t>&gt; Resultado año anterior</t>
  </si>
  <si>
    <t>Índice de Desempeño</t>
  </si>
  <si>
    <t>Mayor al Índice de Desempeño del año anterior</t>
  </si>
  <si>
    <t>Profesional de Planeación</t>
  </si>
  <si>
    <t>N/A</t>
  </si>
  <si>
    <t>GESTIÓN DE TECNOLOGIA PARA LA PRESTACION DE SERVICIOS DE SALUD HUMANIZADOS Y SEGUROS</t>
  </si>
  <si>
    <t>Fortalecer la gestión tecnológica.</t>
  </si>
  <si>
    <t>Programa de gestión de integración del sistema de información.</t>
  </si>
  <si>
    <t>Cumplimiento del Programa de integración del sistema de información</t>
  </si>
  <si>
    <t>Proyectos TI Implementados</t>
  </si>
  <si>
    <t xml:space="preserve">Número de proyectos ejecutados en a vigencia y que corresponden al periodo de medición según lo planeado / Número Total de proyectos planeados a ejecutar en la vigencia </t>
  </si>
  <si>
    <t>Coordinador TIC´s</t>
  </si>
  <si>
    <t>Cumplimiento de Actividades del Programa</t>
  </si>
  <si>
    <t xml:space="preserve">Número de actividades ejecutadas en la vigencia y que corresponden al periodo de medición según lo planeado / Número Total de actividades planeadas a ejecutar en la vigencia </t>
  </si>
  <si>
    <t xml:space="preserve">Integraciones Realizadas </t>
  </si>
  <si>
    <t xml:space="preserve">Número de integraciones mayor o igual a uno (1) en la vigencia </t>
  </si>
  <si>
    <t>&gt;= 1</t>
  </si>
  <si>
    <t>Programa de adecuación y mejoramiento de infraestructura física</t>
  </si>
  <si>
    <t>Cumplimiento del Programa de Construcción, adecuación y/o mejoramiento infraestructura física</t>
  </si>
  <si>
    <t>Ejecución de Actividades de mantenimiento correctivo</t>
  </si>
  <si>
    <t>Número de actividades ejecutadas / Número de actividades solicitadas</t>
  </si>
  <si>
    <t>Coordinador de Mantenimiento</t>
  </si>
  <si>
    <t>Ejecución de Actividades de mantenimiento preventivo</t>
  </si>
  <si>
    <t>Número de actividades ejecutadas del plan de mantenimiento / Número de actividades programadas</t>
  </si>
  <si>
    <t>Porcentaje avance obra (Construcción)</t>
  </si>
  <si>
    <t>Avance real / Avance proyectado</t>
  </si>
  <si>
    <t>Porcentaje avance obra (Adecuación)</t>
  </si>
  <si>
    <t>Porcentaje avance obra (Mejoramiento)</t>
  </si>
  <si>
    <t>Programa de Gestión Tecnológica
y Dotación hospitalaria</t>
  </si>
  <si>
    <t>Cumplimiento del Programa de
Gestión de tecnología y dotación
Hospitalaria.</t>
  </si>
  <si>
    <t xml:space="preserve"> Disminución de Mantenimientos Correctivos Implementando las Listas de Chequeo Diarias</t>
  </si>
  <si>
    <t>Mantenimientos Correctivos /  Mantenimientos Predictivos</t>
  </si>
  <si>
    <t>≤50%</t>
  </si>
  <si>
    <t>Coordinador Biomédica</t>
  </si>
  <si>
    <t>Gestión de Dotación Hospitalaria</t>
  </si>
  <si>
    <t xml:space="preserve">Número de dotación hospitalaria gestionado ante comité Directivo / Número de dotación hospitalaria aprobada para adquisición </t>
  </si>
  <si>
    <t>&gt;=80%</t>
  </si>
  <si>
    <t>Gestión de tecnología Biomédica</t>
  </si>
  <si>
    <t xml:space="preserve">Número de equipos gestionados ante comité Directivo  / Número de equipos aprobados para adquisición   </t>
  </si>
  <si>
    <t>TRANSFORMACIÓN CULTURAL
PERMANENTE.</t>
  </si>
  <si>
    <t>Generar líneas de desarrollo humano que impacten en la calidad de la atención del usuario y su familia.</t>
  </si>
  <si>
    <t>Programa de Gestión integral y
bienestar del talento humano que
impacten en la calidad de la
atención del usuario y su familia.</t>
  </si>
  <si>
    <t>Cumplimiento Programa de
Gestión Integral y Bienestar del
Talento Humano que impacten en
la calidad de la atención del
usuario y su familia.</t>
  </si>
  <si>
    <t xml:space="preserve">Cumplimiento Programa de Gestión Integral y Bienestar de Talento Humano </t>
  </si>
  <si>
    <t xml:space="preserve">Promedio porcentual de cumplimiento de indicadores / Total de indicadores del Programa </t>
  </si>
  <si>
    <t>&gt;=90%</t>
  </si>
  <si>
    <t>Coordinador Actividades Talento Humano</t>
  </si>
  <si>
    <t>Estrategia “Construyendo en Familia para Trabajar con el Alma”</t>
  </si>
  <si>
    <t>Número de colaboradores asistentes a los proceso formativos  / Total de colaboradors que confirme participación</t>
  </si>
  <si>
    <t>RESPONSABILIDAD
SOCIAL</t>
  </si>
  <si>
    <t>Asegurar la competitividad
y posicionamiento de la
institución</t>
  </si>
  <si>
    <t>Sistema de Gestion Ambiental</t>
  </si>
  <si>
    <t>Cumplimiento de los requisitos de
la norma ISO 14001:2015</t>
  </si>
  <si>
    <t>Mantener la Certificación</t>
  </si>
  <si>
    <t>Certificado ISO 14001:2015</t>
  </si>
  <si>
    <t>Coordinador Gestión Ambiental</t>
  </si>
  <si>
    <t>Sistema de Gestión en Seguridad
y Salud en el Trabajo</t>
  </si>
  <si>
    <t>Cumplimiento de los requisitos de
la norma ISO 45001:2018</t>
  </si>
  <si>
    <t>Obetner la Certificación</t>
  </si>
  <si>
    <t>Certificado ISO 45001:2015</t>
  </si>
  <si>
    <t>Coordinador  Seguridad y Salud en el Trabajo</t>
  </si>
  <si>
    <t>Sistema de Gestión de la Calidad</t>
  </si>
  <si>
    <t>Cumplimiento de los requisitos de
la norma ISO 9001:2015</t>
  </si>
  <si>
    <t>Certificado ISO 9001:2015</t>
  </si>
  <si>
    <t>Coordinador Calidad</t>
  </si>
  <si>
    <t>Buenas practicas de elaboración</t>
  </si>
  <si>
    <t>Cumplimiento de requisitos de
Buenas practicas de elaboración</t>
  </si>
  <si>
    <t>Certificado BPE</t>
  </si>
  <si>
    <t>Coordinador Farmacia</t>
  </si>
  <si>
    <t>Cumplimiento de requisitos de
Buenas practicas de manufactura</t>
  </si>
  <si>
    <t>Certificado BPM</t>
  </si>
  <si>
    <t>GESTIÓN DEL CONOCIMIENTO E INNOVACIÓN</t>
  </si>
  <si>
    <t>Contribuir a la consolidación de Hospital Universitario mediante la  estión del conocimiento, innovación y desarrollo comunitario.</t>
  </si>
  <si>
    <t>Proyectos de investigación competitiva a nivel regional y Nacional impactando
positivamente el Fortalecimiento de la E.S.E Hospital Universitario San Rafael De Tunja y su zona de influencia.</t>
  </si>
  <si>
    <t>Cumplimiento de Programa de
Investigación, Docencia e
Innovación</t>
  </si>
  <si>
    <t>Productos de investigación para someter a revista</t>
  </si>
  <si>
    <t xml:space="preserve">Número de proyectos para someterse a revista  / Número de proyectos aprobados por comité </t>
  </si>
  <si>
    <t>Incremento 1% anual</t>
  </si>
  <si>
    <t>Coordinador Gestión Académica</t>
  </si>
  <si>
    <t xml:space="preserve">Satisfacción del personal en formación internado </t>
  </si>
  <si>
    <t>Número de estudiantes satisfechos  / Total de estudiantes que diligencian la encuesta</t>
  </si>
  <si>
    <t>Adherencia a los Syllabus de rotación</t>
  </si>
  <si>
    <t xml:space="preserve">Número de temas revisados en los Syllabus de rotación    / Número total de temas planteados en los Syllabus de rotación </t>
  </si>
  <si>
    <t>Adherencia a programación de turnos o planes de programación</t>
  </si>
  <si>
    <t>Número de planes o programas  /  Total de especialidades en los que rotan internos</t>
  </si>
  <si>
    <t>Fortalecer líneas de investigación institucional</t>
  </si>
  <si>
    <t>Implementación de las líneas de
investigación</t>
  </si>
  <si>
    <t>Realizar eventos de asistencia masiva en actividades como simposios y  congresos</t>
  </si>
  <si>
    <t>Numero de Congresos</t>
  </si>
  <si>
    <t>Congresos por vigencia</t>
  </si>
  <si>
    <t>Numero de Congresos en la vigencia</t>
  </si>
  <si>
    <t>Desarrollar alianzas estratégicas que permitan fortalecer las líneas de investigación de los grupos de
investigación.</t>
  </si>
  <si>
    <t>Numero de Alianzas estratégicas
consolidadas</t>
  </si>
  <si>
    <t>Numero de Alianzas estratégicas
consolidadas por vigencia</t>
  </si>
  <si>
    <t xml:space="preserve">Numero de Alianzas estratégicas  en la vigencia </t>
  </si>
  <si>
    <t>PLAN OPERATIVO INSTITUCIONAL</t>
  </si>
  <si>
    <t>CODIGO: OADS-F-03</t>
  </si>
  <si>
    <t>INICIO</t>
  </si>
  <si>
    <t>LÍNEA ESTRÁTEGICA</t>
  </si>
  <si>
    <t>PROGRAMAS  ESTRÁTEGICO</t>
  </si>
  <si>
    <t>ACTIVIDADES</t>
  </si>
  <si>
    <t>OBSERVACIONES</t>
  </si>
  <si>
    <t>AVANCE                1 TRIMESTRE</t>
  </si>
  <si>
    <t>AVANCE 2  TRIMESTRE</t>
  </si>
  <si>
    <t>AVANCE 3 TRIMESTRE</t>
  </si>
  <si>
    <t>AVANCE   4 TRIMESTRE</t>
  </si>
  <si>
    <t>Observaciones 1 Trimestre</t>
  </si>
  <si>
    <t>Observaciones 2 Trimestre</t>
  </si>
  <si>
    <t>Observaciones 3 Trimestre</t>
  </si>
  <si>
    <t>Observaciones 4 Trimestre</t>
  </si>
  <si>
    <t>Humanización de los Servicios de Salud</t>
  </si>
  <si>
    <t>Humanizar la atención      como cultura de servicio y buen trato al Usuario y su familia</t>
  </si>
  <si>
    <t>Fortalecimiento de la cultura de servicio y buen trato a través de la implementación del programa de humanización de los servicios ofertados por el HUSRT.</t>
  </si>
  <si>
    <t>Programa de Humanización  que involucre la sensibilización del talento humano con enfoque tanto para cliente interno y externo.</t>
  </si>
  <si>
    <t>Socializar, implementar y evaluar el programa de humanización del servicio.</t>
  </si>
  <si>
    <t>Total Indicadores que cumplen la Meta / Total Indicadores del Programa por Vigencia</t>
  </si>
  <si>
    <t>Consolidar un  manejo integral del usuario y su familia, desde su promoción, prevención, tratamiento, rehabilitación de alta complejidad y seguimiento  comunitario.</t>
  </si>
  <si>
    <t>Diseñar implementar y evaluar Programa integralidad de alta complejidad y  seguimiento comunitario.</t>
  </si>
  <si>
    <t>Fortalecimiento del Sistema Obligatorio de Garantía de Calidad en Salud.</t>
  </si>
  <si>
    <t>Mejora y fortalecimiento en los procesos administrativos y asistenciales, que incluyan la eficacia y eficiencia en los mismos minimizando  el daño  antijurídico.</t>
  </si>
  <si>
    <t xml:space="preserve">Programa de gestión institucional de los recursos financieros (PEGIF) </t>
  </si>
  <si>
    <t xml:space="preserve">
Programa de Gestión y Desempeño Institucional</t>
  </si>
  <si>
    <t>Implementar el Modelo Integrado  de Planeación y Gestión - MIPG.</t>
  </si>
  <si>
    <t>RESPONSABILIDAD SOCIAL</t>
  </si>
  <si>
    <t>Sistema de Gestión en Seguridad y  Salud en el Trabajo</t>
  </si>
  <si>
    <t>Mantener la certificación en el cumplimiento de la   norma  ISO 14001:2015 Sistema de Gestión Ambiental</t>
  </si>
  <si>
    <t>Realizar eventos de asistencia masiva en actividades como simposios y congresos</t>
  </si>
  <si>
    <t>Desarrollar  alianzas estratégicas que permitan fortalecer  las líneas de investigación de los grupos de investigación.</t>
  </si>
  <si>
    <t>UCI ADULTOS</t>
  </si>
  <si>
    <t>UCI PEDIATRICA</t>
  </si>
  <si>
    <t>NA</t>
  </si>
  <si>
    <t xml:space="preserve"> FÓRMULA </t>
  </si>
  <si>
    <t>INDICADOR</t>
  </si>
  <si>
    <t>CARTERA</t>
  </si>
  <si>
    <t>FACTURACION</t>
  </si>
  <si>
    <t xml:space="preserve">META VIGENCIA 2021 </t>
  </si>
  <si>
    <t>URGENCIAS</t>
  </si>
  <si>
    <t>HOSPITALIZACION</t>
  </si>
  <si>
    <t>No.</t>
  </si>
  <si>
    <t>ACTIVIDAD</t>
  </si>
  <si>
    <t>PROCESO</t>
  </si>
  <si>
    <t>GESTION DIRECCIONAMIENTO ESTRATEGICO Y HUMANIZACION</t>
  </si>
  <si>
    <t>X</t>
  </si>
  <si>
    <t xml:space="preserve">GESTIÓN DE TALENTO </t>
  </si>
  <si>
    <t>GESTIÓN QHSE</t>
  </si>
  <si>
    <t>EPIDEMIOLOGIA Y SALUD PUBLICA</t>
  </si>
  <si>
    <t>ATENCIÓN URGENCIAS</t>
  </si>
  <si>
    <t>ENFERMERIA</t>
  </si>
  <si>
    <t>GESTION FARMACEUTICA</t>
  </si>
  <si>
    <t>APOYO SERVICIOS DE SALUD</t>
  </si>
  <si>
    <t>GESTION QUIRURGICA</t>
  </si>
  <si>
    <t>SIAU</t>
  </si>
  <si>
    <t>GESTION CLINICA</t>
  </si>
  <si>
    <t>UNIDAD DE CUIDADO INTENSIVO ADULTO</t>
  </si>
  <si>
    <t>UNIDAD DE CUIDADO INTENSIVO PEDIATRICO</t>
  </si>
  <si>
    <t>UNIDAD DE CUIDADO INTENSIVO NEONATAL</t>
  </si>
  <si>
    <t>GESTIÓN CONTRATACIÓN</t>
  </si>
  <si>
    <t>GESTIÓN ADMINISTRATIVA</t>
  </si>
  <si>
    <t xml:space="preserve">AUDITORIA CUENTAS </t>
  </si>
  <si>
    <t>GESTIÓN FINANCIERA</t>
  </si>
  <si>
    <t>GESTIÓN DOCUMENTAL</t>
  </si>
  <si>
    <t>GESTIÓN DE SISTEMAS DE INFORMACIÓN Y COMUNICACIONES</t>
  </si>
  <si>
    <t>GESTIÓN TECNOLOGICA</t>
  </si>
  <si>
    <t>GESTIÓN JURIDICA</t>
  </si>
  <si>
    <t>GESTIÓN DE MANTENIMIENTO</t>
  </si>
  <si>
    <t>GESTIÓN DE SUMINISTROS Y ACTIVOS FIJOS</t>
  </si>
  <si>
    <t>GESTIÓN SERVICIOS DE APOYO</t>
  </si>
  <si>
    <t>A1</t>
  </si>
  <si>
    <t>A2</t>
  </si>
  <si>
    <t>A3</t>
  </si>
  <si>
    <t>A4</t>
  </si>
  <si>
    <t>A6</t>
  </si>
  <si>
    <t>A7</t>
  </si>
  <si>
    <t>A8</t>
  </si>
  <si>
    <t>A9</t>
  </si>
  <si>
    <t>A10</t>
  </si>
  <si>
    <t>A11</t>
  </si>
  <si>
    <t>A12</t>
  </si>
  <si>
    <t>A13</t>
  </si>
  <si>
    <t>A14</t>
  </si>
  <si>
    <t>A15</t>
  </si>
  <si>
    <t>A16</t>
  </si>
  <si>
    <t>A17</t>
  </si>
  <si>
    <t>A18</t>
  </si>
  <si>
    <t>A19</t>
  </si>
  <si>
    <t>A20</t>
  </si>
  <si>
    <t>A21</t>
  </si>
  <si>
    <t>A22</t>
  </si>
  <si>
    <t>CALIDAD</t>
  </si>
  <si>
    <t>SST</t>
  </si>
  <si>
    <t>SGA</t>
  </si>
  <si>
    <t>GESTIÓN DE INVESTIGACIÓN E INNOVACIÓN DE CALIDAD</t>
  </si>
  <si>
    <t>RESULTADO 3er TRIMESTRE</t>
  </si>
  <si>
    <t>RESULTADO 4o TRIMESTRE</t>
  </si>
  <si>
    <t>UCI NEONATAL</t>
  </si>
  <si>
    <t>PROMEDIO 2o TRIMESTRE</t>
  </si>
  <si>
    <t>PROMEDIO 3er TRIMESTRE</t>
  </si>
  <si>
    <t>PROMEDIO 4o TRIMESTRE</t>
  </si>
  <si>
    <t>PROMEDIO TRIMESTRAL CUMPLIMIENTO POR PROCESO</t>
  </si>
  <si>
    <t>PORCENTAJE AVANCE ANUAL</t>
  </si>
  <si>
    <t>Resultado SegundoTrimestre</t>
  </si>
  <si>
    <t>Resultado Tercer Trimestre</t>
  </si>
  <si>
    <t>Resultado  Cuarto Trimestre</t>
  </si>
  <si>
    <t>RESULTADO 2do TRIMESTRE</t>
  </si>
  <si>
    <t>Gestion Clínica</t>
  </si>
  <si>
    <t>SERVICIOS APOYO SALUD</t>
  </si>
  <si>
    <t>MARIA JOSEFA CANELONES</t>
  </si>
  <si>
    <t>Implementación, Evaluación y Cumplimiento del Modelo con enfoque de Atención Primaria en Salud.Programa integralidad de alta complejidad y seguimiento  comunitario.</t>
  </si>
  <si>
    <t>Cumplimiento Global del Programa de Alta Complejidad</t>
  </si>
  <si>
    <t>Promedio resultado de cumplimiento de indicadores del programa</t>
  </si>
  <si>
    <t xml:space="preserve">
Apropiar el proceso de acreditación en salud en  los procesos organizacionales para fortalecer su mejora y cumplimiento</t>
  </si>
  <si>
    <t>Programa  Gestión y minimización de los riesgos asociados a la atención en sa</t>
  </si>
  <si>
    <t>Fortalecer la  implementación del proceso de acreditación frente al  despliegue y aplicación del enfoque y extensión a los clientes  interno y externo.</t>
  </si>
  <si>
    <t>Resultado vigencia actual / Resultado vigencia anterior</t>
  </si>
  <si>
    <t>Resultado de la comparación  entre
 1,11  y 1,19</t>
  </si>
  <si>
    <t>entre 1,11 y 1,19</t>
  </si>
  <si>
    <t xml:space="preserve">Garantizar la  gestión de los recursos  que contribuyan a la competitividad y sostenibilidad de la organización. </t>
  </si>
  <si>
    <t>RESULTADO 4to TRIMESTRE</t>
  </si>
  <si>
    <t>Resultado Segundo Trimestre</t>
  </si>
  <si>
    <t>CUMPLIMIENTO DEL PROGRAMA  DE COSTOS</t>
  </si>
  <si>
    <t>total indicadores que superan la meta/total indicadores del programa por vigencia</t>
  </si>
  <si>
    <t>PROMEDIO 4to TRIMESTRE</t>
  </si>
  <si>
    <t>Gestión Financiera</t>
  </si>
  <si>
    <t>Medición Desempeño</t>
  </si>
  <si>
    <t>Gestión Sistema de Información y Comunicaciones</t>
  </si>
  <si>
    <t>Gestión Jurídica</t>
  </si>
  <si>
    <t xml:space="preserve">
Asegurar la competitividad y posicionamiento de la institución </t>
  </si>
  <si>
    <t>Fortalecimiento de  estrategias de responsabilidad social y conservación del medio ambiente</t>
  </si>
  <si>
    <t xml:space="preserve"> Cumplimiento de los requisitos de la norma  ISO 14001:2015
</t>
  </si>
  <si>
    <t>Sistema Gestión Ambiental</t>
  </si>
  <si>
    <t>Gestión Farmaceútica</t>
  </si>
  <si>
    <t>Asegurar la transición   de  la norma  OHSAS 18001:2007 a la norma  ISO 45001:2018 Seguridad y Salud en el Trabajo</t>
  </si>
  <si>
    <t xml:space="preserve"> Cumplimiento de los requisitos de la norma  ISO 45001:2018
</t>
  </si>
  <si>
    <t>Sitema Seguridad y Salud en el Trabajo</t>
  </si>
  <si>
    <t>Mantener las Buenas practicas de manufactura</t>
  </si>
  <si>
    <t xml:space="preserve"> Cumplimiento de requisitos de Buenas practicas de manufactura 
</t>
  </si>
  <si>
    <t xml:space="preserve">
Contribuir a la consolidación de Hospital Universitario mediante la gestión del conocimiento, innovación y desarrollo comunitario</t>
  </si>
  <si>
    <t>Fomentar la generación de conocimiento y la innovación aplicada al proceso de atención en salud</t>
  </si>
  <si>
    <t>Proyectos de investigación competitiva a nivel regional y Nacional impactando positivamente el Fortalecimiento de la E.S.E  Hospital Universitario San Rafael De Tunja y su zona de influencia</t>
  </si>
  <si>
    <t>Rediseñar , Socializar, Implementar y evaluar el Programa de investigación, Docencia e Innovación Fortalecer  líneas de investigación institucional,Realizar eventos de asistencia masiva en actividades como simposios y congresos,Desarrollar  alianzas estratégicas que permitan fortalecer  las líneas de investigación de los grupos de investigación.</t>
  </si>
  <si>
    <t>Número proyectos para someter a revista / Número de proyectos aprobados por comité</t>
  </si>
  <si>
    <t xml:space="preserve">Productos de Investigación para Someter a Revista </t>
  </si>
  <si>
    <t>Rediseñar , Socializar, Fortalecer  líneas de investigación institucional</t>
  </si>
  <si>
    <t>Gestión de Investigación e Innovación</t>
  </si>
  <si>
    <t>Número de congresos realizados en el periodo</t>
  </si>
  <si>
    <t>Congresos ejecutados</t>
  </si>
  <si>
    <t>Alianza formalizada</t>
  </si>
  <si>
    <t>Número de Alianzas estratégicas consolidadas en el periodo</t>
  </si>
  <si>
    <t>Diseñar , socializar e implementar el programa prevención del daño antijurídico de la entidad.</t>
  </si>
  <si>
    <t>PLAN OPERATIVO POR PROCESOS Y/O SERVICIOS</t>
  </si>
  <si>
    <t>GESTION DE TECNOLOGIA PARA LA PRESTACION DE SERVICIOS DE SALUD HUMANIZADOS Y SEGUROS</t>
  </si>
  <si>
    <t>Fortalecer la gestion tecnologica</t>
  </si>
  <si>
    <t xml:space="preserve">fortalecer la tecnologia según la capacidad instalada que permita mantener  los mas altos estandares en servicios </t>
  </si>
  <si>
    <t>progama de gestion de integracion de sistemas de informacion</t>
  </si>
  <si>
    <t>Fortalecer la gestión de la información de manera que asegure la continuidad en la prestación de servicios, la toma de decisiones basada en hechos y datos y facilite la articulación de la información de las instituciones integradas en red.</t>
  </si>
  <si>
    <t>&gt;=1</t>
  </si>
  <si>
    <t>Cumplimiento de actividades del programa integración del sistema de información</t>
  </si>
  <si>
    <t>Cumplimiento proyectos TI</t>
  </si>
  <si>
    <t>Líder Sistemas de Información</t>
  </si>
  <si>
    <t>Cumplimiento del  Programa de integración del sistema de información</t>
  </si>
  <si>
    <t>Porcentaje de cumplimiento del Programa</t>
  </si>
  <si>
    <t xml:space="preserve">
Construcción, adecuación y/o mejoramiento de las condiciones de infraestructura del HUSRT
</t>
  </si>
  <si>
    <t>Porcentaje global de cumplimiento del modelo de atención en la institución</t>
  </si>
  <si>
    <t>Porcentaje global de cumplimiento delPrograma de Alta Complejidad</t>
  </si>
  <si>
    <t>SUBGERENCIA ADMINISTRATIVA Y FINANCIERA</t>
  </si>
  <si>
    <t>SUBGERENCIA DE SERVICIOS DE SALUD</t>
  </si>
  <si>
    <t>OFICINA ASESORA DE DESARROLLO DE SERVICIOS</t>
  </si>
  <si>
    <t xml:space="preserve">TOTAL  POAS: </t>
  </si>
  <si>
    <t xml:space="preserve">SAF: </t>
  </si>
  <si>
    <t xml:space="preserve">SSS: </t>
  </si>
  <si>
    <t xml:space="preserve">OADS: </t>
  </si>
  <si>
    <t xml:space="preserve">Fortalecer la tecnologia según la capacidad instalada que permita mantener  los mas altos estandares en servicios </t>
  </si>
  <si>
    <t>Programa de adecuacion y mejoramiento de infraestructura fisica</t>
  </si>
  <si>
    <t>% Avance real / % Avance proyectado</t>
  </si>
  <si>
    <t>Porcentaje avance de obra (Mejoramiento)</t>
  </si>
  <si>
    <t>Coordinador Mantenimiento</t>
  </si>
  <si>
    <t>GESTIÓN MANTENIMIENTO</t>
  </si>
  <si>
    <t>AVANCE 1 TRIMESTRE</t>
  </si>
  <si>
    <t>Cumplimiento del  Programa de Construcción, adecuación y/o mejoramiento infraestructura física</t>
  </si>
  <si>
    <t>programa de gestion tecnologica y dotacion hospitalaria</t>
  </si>
  <si>
    <t>Fortalecer  la dotación de equipos biomédicos, industriales y de soporte asistencial de alta complejidad y en condiciones de seguridad para el paciente, el usuario y el entorno.</t>
  </si>
  <si>
    <t>Actividades de mantenimiento correctivo</t>
  </si>
  <si>
    <t>Número de mantenimientos correctivos ejecutados / Número de actividades solicitados</t>
  </si>
  <si>
    <t>Actividades de mantenimiento preventivo</t>
  </si>
  <si>
    <t>Coordinador Biómedica</t>
  </si>
  <si>
    <t>Gestión tecnología Biomédica</t>
  </si>
  <si>
    <t>Número de equipos gestionados ante comité directivo / Número de equipos aprobados para adquisicion</t>
  </si>
  <si>
    <t>Gestión de dotación Hospitalaria</t>
  </si>
  <si>
    <t xml:space="preserve">Número de dotación hospitalaria  Gestionados ante comité directivo / Número de dotación hospitalaria aprobada para adquisición </t>
  </si>
  <si>
    <t>Disminución de Mantenimientos Correctivos Implementando las Listas de Chequeo Diarias</t>
  </si>
  <si>
    <t>GESTIÓN TECNOLÓGICA</t>
  </si>
  <si>
    <t>SISTEMAS</t>
  </si>
  <si>
    <t>GESTIÓN SUMINISTROS Y ACTIVOS FIJOS</t>
  </si>
  <si>
    <t xml:space="preserve">TRANSFORMACIÓN CULTURAL PERMANENTE. </t>
  </si>
  <si>
    <t xml:space="preserve">Generar líneas de desarrollo humano  que impacten en la  calidad de la  atención del usuario y su familia. </t>
  </si>
  <si>
    <t xml:space="preserve">Fortalecer el  desarrollo Humano y bienestar. </t>
  </si>
  <si>
    <t xml:space="preserve">Programa de Gestión integral y bienestar del talento humano  que impacten en la  calidad de la  atención del usuario y su familia. </t>
  </si>
  <si>
    <t xml:space="preserve">Rediseñar , Socializar, Implementar y evaluar el Programa de Gestión integral y bienestar del talento humano  que impacten en la  calidad de la  atención del usuario y su familia. </t>
  </si>
  <si>
    <t>GESTIÓN DEL TALENTO HUMANO</t>
  </si>
  <si>
    <t xml:space="preserve">No. De personas certificadas en la norma definida / Total de personas  programadas para certificar en la norma de competencia </t>
  </si>
  <si>
    <t>% de satisfacción del desarrollo de los programas contenidos en el PEGITH</t>
  </si>
  <si>
    <t xml:space="preserve">% de personal certificado en la norma de competencias  definida </t>
  </si>
  <si>
    <t>Sumatoria de respuestas positivas / Número total de preguntas</t>
  </si>
  <si>
    <t xml:space="preserve">Número de trabajadores de planta participantes en las actividades de capacitación 
programadas en el período
/ Número total de trabajadores de planta programados </t>
  </si>
  <si>
    <t>% Cobertura del plan de bienestar del personal de planta</t>
  </si>
  <si>
    <t>Número de trabajadores de planta participantes en las actividades de bienestar programadas en el período / Número total de trabajadores de planta programados</t>
  </si>
  <si>
    <t>% de cumplimiento actividades de capacitación</t>
  </si>
  <si>
    <t>Número de actividades ejecutadas en el período / Número total de actividades programadas</t>
  </si>
  <si>
    <t>% de cumplimiento actividades de bienestar</t>
  </si>
  <si>
    <t>Situaciones Administrativas</t>
  </si>
  <si>
    <t>Total situaciones administrativas atendidas en términos / Total situaciones administrativas recibidas o a gestionar en el período</t>
  </si>
  <si>
    <t>Cumplimiento estrategia construyendo en familia para trabajar con el alma</t>
  </si>
  <si>
    <t>Número de colaboradores asistentes a los procesos formativos / Total de colaboradores que confirmen participación</t>
  </si>
  <si>
    <t>Coordinador actividades Talento Humano</t>
  </si>
  <si>
    <t>Cumplimiento del  Programa de Gestión de tecnología y dotación Hospitalaria.</t>
  </si>
  <si>
    <t>Cumplimiento del  Programa  de Investigación, Docencia e
Innovación</t>
  </si>
  <si>
    <t>Porcentaje global de cumplimiento del Programa de Investigación, Docencia e
Innovación</t>
  </si>
  <si>
    <t>Líder PAMEC</t>
  </si>
  <si>
    <t>Cumplimiento Programa de Humanización implementado cliente interno y externo</t>
  </si>
  <si>
    <t>Programa  de adecuación y mejoramiento de infraestructura física</t>
  </si>
  <si>
    <t xml:space="preserve">Programa de Seguridad del Paciente bajo el enfoque de adaptación y mitigación de riesgos  </t>
  </si>
  <si>
    <t>Programa integralidad de alta complejidad y seguimiento  comunitario.</t>
  </si>
  <si>
    <t>Programa de Gestión de tecnología y  dotación Hospitalaria.</t>
  </si>
  <si>
    <t>Satisfacción del Personal en Formación Internado DOCENCIA-SERVICIO</t>
  </si>
  <si>
    <t>CONSOLIDADO INSTITUCIONAL</t>
  </si>
  <si>
    <t>ASPECTOS A TENER EN CUENTA AL EVALUAR ESTE INDICADOR</t>
  </si>
  <si>
    <t>1. NUEVO CONVENIOS CON UNIVERSIDADES</t>
  </si>
  <si>
    <t>OBSERVACIONES LIDER PROCESO</t>
  </si>
  <si>
    <t>Consolidado Indicador 
Gestión de Investigación e Innovación</t>
  </si>
  <si>
    <t>Resultado 2doTrimestre</t>
  </si>
  <si>
    <t>Resultado 4to Trimestre</t>
  </si>
  <si>
    <t>1.. Proyectos radicados por el grupo investigador
2. Información regisdtrada en COLCIENCIAS</t>
  </si>
  <si>
    <t>-</t>
  </si>
  <si>
    <t>Resultado 3erTrimestre</t>
  </si>
  <si>
    <t>Resultado 4toTrimestre</t>
  </si>
  <si>
    <t>Resultado 2do Trimestre</t>
  </si>
  <si>
    <t>1. Registro de capacitación y actividades formativas</t>
  </si>
  <si>
    <t>PROGRAMA MADRE CANGURO</t>
  </si>
  <si>
    <t>Adherencia al buen trato (UCI´s, Hospitalización, Urgencias, programa madre cangjuro)</t>
  </si>
  <si>
    <t>Crecimiento UVR</t>
  </si>
  <si>
    <t>UVR acumulada periodo actual / UVR acumulada periodo anterior - 1)</t>
  </si>
  <si>
    <t>Incremento en la facturación neta de la vigencia</t>
  </si>
  <si>
    <t>Facturación neta de la vigencia / Facturación neta de vigencia anterior - 1)</t>
  </si>
  <si>
    <t xml:space="preserve">Identificación e Intervención de Hallazgos en Auditoria pre radicación </t>
  </si>
  <si>
    <t>Inconsistencias intervenidas / Total de inconsistencias halladas</t>
  </si>
  <si>
    <t>Utilzación de la capacidad instalada</t>
  </si>
  <si>
    <t>Capacidad instalada utilizada  / Total capacidad instalada disponible</t>
  </si>
  <si>
    <t>Ingreso reconocido por venta de servicios de Salud por UVR</t>
  </si>
  <si>
    <t xml:space="preserve">Total facturación reconocida / Número de UVR producidas </t>
  </si>
  <si>
    <t>&gt;= mismo periodo vigencia anterior</t>
  </si>
  <si>
    <t>Gasto por UVR producida</t>
  </si>
  <si>
    <t>Gasto de funcionamiento + de operación comercial y prestación de servicios / Número de UVR producidas</t>
  </si>
  <si>
    <t>Gasto de personal por UVR producida</t>
  </si>
  <si>
    <t>Gasto de personal (de planta +remuneración servicios técnicos) / Número de UVR producidas</t>
  </si>
  <si>
    <t>&lt;= mismo periodo vigencia anterior</t>
  </si>
  <si>
    <t>&lt;= al periodo vigencia anterior</t>
  </si>
  <si>
    <t>Equilibrio con reconocimiento total</t>
  </si>
  <si>
    <t xml:space="preserve">Total reconocimiento  / Total gasto comprometido </t>
  </si>
  <si>
    <t>&gt;1</t>
  </si>
  <si>
    <t>Equilibrio con recaudo total</t>
  </si>
  <si>
    <t xml:space="preserve">Total recaudo  / Total gasto comprometido </t>
  </si>
  <si>
    <t>Oportunidad en la respuesta de glosa inicial</t>
  </si>
  <si>
    <t>Total facturas con glosa que cuentan con respuesta oportuna / Total de facturas notificadas con glosa inicial en la vigencia</t>
  </si>
  <si>
    <t>Participación de la Glosa inicial y devoluciones pendientes en el total de la cartera</t>
  </si>
  <si>
    <t xml:space="preserve">Aceptación de Glosa de la vigencia </t>
  </si>
  <si>
    <t>Valor de Glosa neta final aceptada de la vigencia / Facturado en la vigencia</t>
  </si>
  <si>
    <t>&lt;4%</t>
  </si>
  <si>
    <t>Cumplimiento en pago de vigencias anteriores</t>
  </si>
  <si>
    <t>Total de pagos de cuentas por pagar de vigencias anteriores  / Total cuentas por pagar vigencias anteriores</t>
  </si>
  <si>
    <t>Superavit o Deficit presupuestal</t>
  </si>
  <si>
    <t>Total ingreso reconocido - Total gasto comprometido</t>
  </si>
  <si>
    <t>Informe de seguimiento</t>
  </si>
  <si>
    <t>Calculo del indice de Riesgo</t>
  </si>
  <si>
    <t xml:space="preserve">Superavit o Deficit operacional Total / Ingresos operacionales totales recaudados </t>
  </si>
  <si>
    <t xml:space="preserve">Facturación </t>
  </si>
  <si>
    <t>Auditoria Cuentas</t>
  </si>
  <si>
    <t>Cartera</t>
  </si>
  <si>
    <t>Gestión Juridica</t>
  </si>
  <si>
    <t xml:space="preserve">Seguimiento trimestral al comportamiento de los centros de costos </t>
  </si>
  <si>
    <t>Total informes trimestrales de costos evaluados  / Total trimestres de la vigencia</t>
  </si>
  <si>
    <t>Número de actividade ejecutadas / Número de Actividades programadas</t>
  </si>
  <si>
    <t>Implementación plan de acción de SST (Plan de trabajo)</t>
  </si>
  <si>
    <t>Implementación plan de acción de SGA  (Plan de trabajo)</t>
  </si>
  <si>
    <t>Implementación plan de acción de BPM (Plan de trabajo)</t>
  </si>
  <si>
    <t>Ssitemas</t>
  </si>
  <si>
    <t>Radiología e Imágenes
diagnósticas</t>
  </si>
  <si>
    <t>Actividades ejecutadas plan de acción MIPG / Actividades programadas</t>
  </si>
  <si>
    <t>Gestión Quirurgica</t>
  </si>
  <si>
    <t>Actividades ejecutadas / Actividades programadas</t>
  </si>
  <si>
    <t>Resultado tercer Trimestre</t>
  </si>
  <si>
    <t>Resultado cuarto Trimestre</t>
  </si>
  <si>
    <t>Resultado  Segundo Trimestre</t>
  </si>
  <si>
    <t>RESULTADO CONSOLIDADO 2do TRIMESTRE</t>
  </si>
  <si>
    <t>RESULTADO CONSOLIDADO  3er TRIMESTRE</t>
  </si>
  <si>
    <t>RESULTADO CONSOLIDADO  4toTRIMESTRE</t>
  </si>
  <si>
    <t>RESULTADO CONSOLIDADO 3er TRIMESTRE</t>
  </si>
  <si>
    <t>Resultado CuartoTrimestre</t>
  </si>
  <si>
    <t>RESULTADO CONSOLIDADO 4to TRIMESTRE</t>
  </si>
  <si>
    <t>RESULTADO CONSOLIDADO 3er  TRIMESTRE</t>
  </si>
  <si>
    <t>PERIODICIDAD</t>
  </si>
  <si>
    <t>Trimestral</t>
  </si>
  <si>
    <t>Anual</t>
  </si>
  <si>
    <t>Director Técnico Farmacia</t>
  </si>
  <si>
    <t>Semestral</t>
  </si>
  <si>
    <t>Coordinador Clínicas Quirúrgicas</t>
  </si>
  <si>
    <t>RESULTADO CONSOLIDADO 4toTRIMESTRE</t>
  </si>
  <si>
    <t>RESULTADO CONSOLIDADO  4to TRIMESTRE</t>
  </si>
  <si>
    <t>Planeación</t>
  </si>
  <si>
    <t>Número de actividades ejecutadas / Número de Actividades programadas</t>
  </si>
  <si>
    <t>Líder Sistema Gestión Ambiental</t>
  </si>
  <si>
    <t>Líder Seguridad y Salud en el Trabajo</t>
  </si>
  <si>
    <t>Resultado 3 er timestre</t>
  </si>
  <si>
    <t>Resultado 4to timestre</t>
  </si>
  <si>
    <t>Mensual</t>
  </si>
  <si>
    <t>Resultado tercerTrimestre</t>
  </si>
  <si>
    <t>GESTIÓN FARMACEUTICA</t>
  </si>
  <si>
    <t>SEGURIDAD Y SALUD EN EL TRABAJO</t>
  </si>
  <si>
    <t>GESTIÓN AMBIENTAL</t>
  </si>
  <si>
    <t>IAMII</t>
  </si>
  <si>
    <t>ENFERMERIA (GRUPO INTERNO DE TRABAJO)</t>
  </si>
  <si>
    <t>FACTURACIÓN</t>
  </si>
  <si>
    <t xml:space="preserve">OBSERVACIONES LIDER PROCESO
EVIDENCIA </t>
  </si>
  <si>
    <t>Resultado Cuarto Trimestre</t>
  </si>
  <si>
    <t>EVIDENCIA</t>
  </si>
  <si>
    <t>Obtener la Certificación en ISO 9001:2015 Sistema de Gestión de Calidad</t>
  </si>
  <si>
    <t xml:space="preserve">Cumplimiento de los requisitos de la norma ISO 9001:20158
</t>
  </si>
  <si>
    <t>EVIDENICA</t>
  </si>
  <si>
    <t>Resultado TercerTrimestre</t>
  </si>
  <si>
    <t>Humanización</t>
  </si>
  <si>
    <t>Modelo de atención</t>
  </si>
  <si>
    <t>GESTIÓN CLÍNICA</t>
  </si>
  <si>
    <t>GESTIÓN QUIRÚRGICA</t>
  </si>
  <si>
    <t>SEDE MARIA JOSEFA CANELOS</t>
  </si>
  <si>
    <t>Pamec</t>
  </si>
  <si>
    <t>Seguridad del paciente</t>
  </si>
  <si>
    <t>A5</t>
  </si>
  <si>
    <t>Alta Complejidad</t>
  </si>
  <si>
    <t>PEGIF</t>
  </si>
  <si>
    <t>Programa de Costos</t>
  </si>
  <si>
    <t>Programa Daño Antijuridico</t>
  </si>
  <si>
    <t>SEGURIDAD DEL PACIENTE</t>
  </si>
  <si>
    <t>MIPG</t>
  </si>
  <si>
    <t>Integración de sistemas</t>
  </si>
  <si>
    <t>Adecuación y Mejoramiento Infraestructura</t>
  </si>
  <si>
    <t xml:space="preserve">Gestión Tecnología </t>
  </si>
  <si>
    <t>PEGITH</t>
  </si>
  <si>
    <t>IAMI</t>
  </si>
  <si>
    <t>LABORATORIO CLÍNICO</t>
  </si>
  <si>
    <t>ISO 14001:2015</t>
  </si>
  <si>
    <t>ISO 45001:2018</t>
  </si>
  <si>
    <t>ISO 9001:2015</t>
  </si>
  <si>
    <t>BPE</t>
  </si>
  <si>
    <t>BPM</t>
  </si>
  <si>
    <t xml:space="preserve">Programa de Investigación </t>
  </si>
  <si>
    <t>Líneas de Investigación</t>
  </si>
  <si>
    <t>Número de Congresos</t>
  </si>
  <si>
    <t>Alianzas Estrátegicas</t>
  </si>
  <si>
    <t>LABORATORIO CLINICO</t>
  </si>
  <si>
    <t>EVINDECIA</t>
  </si>
  <si>
    <t>&gt;=70%</t>
  </si>
  <si>
    <t>HERRAMIENTA MEDICION MODELO DE ATENCION POR SERVICIOS</t>
  </si>
  <si>
    <t>OBSERVACIONES CONTROL INTERNO</t>
  </si>
  <si>
    <t xml:space="preserve"> CUMPLIMIENTO INDICADORES PROGRAMA 2 TRIMESTRE</t>
  </si>
  <si>
    <t>cumplimiento ,.</t>
  </si>
  <si>
    <t>Total de glosas pendientes de conciliar entre las partes + Devoluciones pendientes de reconocimiento de pago / Total Cartera</t>
  </si>
  <si>
    <t>APOYO SERVICIOS  SALUD</t>
  </si>
  <si>
    <t>ESE HOSPITAL UNIVERSITARIO SAN RAFAEL TUNJA</t>
  </si>
  <si>
    <t>PROCESOS INVOLUCRADOS</t>
  </si>
  <si>
    <t>PROCESOS Y/O SERVICIOS INVOLUCRADOS</t>
  </si>
  <si>
    <t>INSTRUCTIVO EVALUACIÓN POA</t>
  </si>
  <si>
    <t>Aquí se diligencia por cada líder de Programa el resultado obtenido en cada indicador, según la periodicidad y aplicable a cada proceso y/o servicio involucrado</t>
  </si>
  <si>
    <t>Se describe los aspectos o actividades que conlleven al despliegue y desarrollo de las fuentes de información, para que se ejecuten por parte del líder del programa o proceso y/o servicio responsable de alimentarlo, correspondiente a información vital al momento de evalaur indicadores con periodicidad de medición superior a tres meses</t>
  </si>
  <si>
    <t>Gestión Clínica</t>
  </si>
  <si>
    <t>Se encuentran el(los) procesos o servicios aliados en el despliegue del programa estratégico</t>
  </si>
  <si>
    <t>OBSERVACIONES LÍDER DEL PROCESO</t>
  </si>
  <si>
    <t xml:space="preserve">Corrresponde al promedio consolidado de los resultados del indicador de cada proceso y/o servicio </t>
  </si>
  <si>
    <t>POA POR PROCESO Y/O SERVICIO</t>
  </si>
  <si>
    <t>AVANCES SEGÚN  CUMPLIMIENTO DE META</t>
  </si>
  <si>
    <t>Se evidencia el avance trimestral de cada indicador con respecto a la meta establecida para cada uno</t>
  </si>
  <si>
    <t>Esta medición se realizará trimestral midiendo el resultado de avance de cada Plan Operativo con respecto a los indicadores definidos en cada uno</t>
  </si>
  <si>
    <t>INFORME SEGUIMIENTO TRIMESTRAL</t>
  </si>
  <si>
    <t>Meta indicador</t>
  </si>
  <si>
    <t>Peso Porcentual sobre meta vigencia</t>
  </si>
  <si>
    <t xml:space="preserve">Cumplimiento Global del modelo </t>
  </si>
  <si>
    <t>Indicadores Aplicables</t>
  </si>
  <si>
    <t>Avance Meta Vigencia</t>
  </si>
  <si>
    <t>Reporte cumplimiento trimestral</t>
  </si>
  <si>
    <t>% Cumplimiento meta vigencia</t>
  </si>
  <si>
    <t>Meta vigencia</t>
  </si>
  <si>
    <t>Coordinador Técnico Farmacia</t>
  </si>
  <si>
    <t>Indicadores Aplicables al programa</t>
  </si>
  <si>
    <t>CUMPLIMIENTO PROGRAMA DE HUMANIZACIÓN IMPLEMENTADO CLIENTE INTERNO Y EXTERNO</t>
  </si>
  <si>
    <t>PROMEDIO TRIMESTRAL CUMPLIMIENTO POR PROCESO Y/O SERVICIO</t>
  </si>
  <si>
    <t>Eje Estratégico definifo en Plan de Desarrollo</t>
  </si>
  <si>
    <t>Objetivo Estratégico definifo en Plan de Desarrollo</t>
  </si>
  <si>
    <t>Nombre del Programa definido en el Plan de Desarrollo</t>
  </si>
  <si>
    <t>Meta definida en el Plan de Desarrolo para la vigencia evaluada</t>
  </si>
  <si>
    <t>Actividad definida en el Plan de Desarrollo, sobre las cuales se estructura el POA</t>
  </si>
  <si>
    <t xml:space="preserve">FÓRMULA </t>
  </si>
  <si>
    <t>Expresión matemática que consiste en la división del numerador entre el denominador, multiplicado por el factor correspondiente</t>
  </si>
  <si>
    <t>Límite propuesto como ideal de mejoramiento para alcanzar el desempeño deseable para la condición medida por el indicador.</t>
  </si>
  <si>
    <t>Frecuencia de medición del indicador dentro del programa o actividad</t>
  </si>
  <si>
    <t>Líder de programa según aplique</t>
  </si>
  <si>
    <t>RESULTADO CONSOLIDAD POR NTRIMESTRE</t>
  </si>
  <si>
    <t>Si las considera pertinentes</t>
  </si>
  <si>
    <t>EVALUACIÓN POA ANUAL</t>
  </si>
  <si>
    <t>Línea Estratégica definido en Plan de Desarrollo</t>
  </si>
  <si>
    <t>Resultado del(os) indicador(es) definido(s) por el líder del programa aplicables a la medición de la vigencia, conforme a la meta definida en la ficha técnica de cada uno</t>
  </si>
  <si>
    <t xml:space="preserve"> CUMPLIMIENTO INDICADORES PROGRAMA 3 TRIMESTRE</t>
  </si>
  <si>
    <t xml:space="preserve"> CUMPLIMIENTO INDICADORES PROGRAMA 4 TRIMESTRE</t>
  </si>
  <si>
    <t xml:space="preserve"> RESULTADO FRENTE A META VIGENCIA</t>
  </si>
  <si>
    <t>Cumplimiento Global del modelo Urgencias</t>
  </si>
  <si>
    <t>Cumplimiento Global del modelo UCI Adultos</t>
  </si>
  <si>
    <t>Cumplimiento Global del modelo UCI Pediátrica</t>
  </si>
  <si>
    <t>Cumplimiento Global del modelo UCI Neonatal</t>
  </si>
  <si>
    <t>Cumplimiento Global del modelo Apoyo Servicios Salud</t>
  </si>
  <si>
    <t>PROGRAMA ESTRATÉGICO</t>
  </si>
  <si>
    <t>Programa definido en el Plan de Desarrollo</t>
  </si>
  <si>
    <t>Actividad desplegable de los Programas Estratégicos y sobre las cuales se realizará la medición de POA´S</t>
  </si>
  <si>
    <t xml:space="preserve">Meta definida para cada vigencia y aplicable a la medición </t>
  </si>
  <si>
    <t>META VIGENCIA</t>
  </si>
  <si>
    <t>RESPONSABLE</t>
  </si>
  <si>
    <t>Líder responsable de medición de cada actividad</t>
  </si>
  <si>
    <t>RESULTADO FRENTE A META VIGENCIA</t>
  </si>
  <si>
    <t>CUMPLIMIENTO INDICADORES PROGRAMA XX TRIMESTRE</t>
  </si>
  <si>
    <t>Dato que se obtiene de la medición trimestral individual de los POA, de acuerdo al resultado en el cumplimiento de las metas de los indicadores definidos</t>
  </si>
  <si>
    <t>Esta medición se realizará anualmente conforme a lo definido en los oficios, por cada líder de Programa Estratégico, basado en los indicadores estipulados y en la asignación de pesos porcentuales a cada uno. Su medición es anual debido a que con la desagregación en dichos porcentajes, se obtiene el resultado de la vigencia completa, en cada POA se realiza un análisis del resultado de los indicadores conforme a lo definido en el oficio.</t>
  </si>
  <si>
    <t>INDICADOR RESULTADO</t>
  </si>
  <si>
    <t>Indicador Resultado</t>
  </si>
  <si>
    <t>Número de integraciones ejecutadas en la vigencia</t>
  </si>
  <si>
    <t>Resultado 2do Trimestre - Promedio</t>
  </si>
  <si>
    <t>Promedio indicadores Programa Estratégico</t>
  </si>
  <si>
    <t>VERSIÓN: 04</t>
  </si>
  <si>
    <t>FECHA: 26/05/2021</t>
  </si>
  <si>
    <t>Proporción de vigilancia de eventos adversos</t>
  </si>
  <si>
    <t>Promedio de la calificación de adherencia a las buenas prácticas de seguridad del paciente</t>
  </si>
  <si>
    <t xml:space="preserve">Promedio de la calificación de la implementación de las buenas practicas de seguridad del paciente priorizadas </t>
  </si>
  <si>
    <t>No. de ítems de implementación que se  que cumplen en el periodo según cronograma / Total de ítems evaluado en el periodo  según cronograma .x100</t>
  </si>
  <si>
    <t>&gt;=65%</t>
  </si>
  <si>
    <t>Gestión del riesgo extremo y alto en seguridad del paciente</t>
  </si>
  <si>
    <t>Lider Seguridad del Paciente</t>
  </si>
  <si>
    <t xml:space="preserve">Sumatoria del numero de listas de chequeo  aplicadas por pacientes atendidos que cumplen con los criterios según estándar (protocolo...) institucional en el periodo / Sumatoria total de las listas de chequeo aplicadas por pacientes atendidos en el periodo X 100 
 </t>
  </si>
  <si>
    <t>Número total de eventos adversos detectados y gestionados / Número total de eventos adversos detectados</t>
  </si>
  <si>
    <t>Actas de Comité segurdiad del paciente
Informe ejecutivo del prograrama</t>
  </si>
  <si>
    <t xml:space="preserve">Actas de Comité segurdiad del paciente
Informes de adherencia </t>
  </si>
  <si>
    <t>Informe de Seguimiento</t>
  </si>
  <si>
    <t>Informe Anual de Integraciones</t>
  </si>
  <si>
    <t xml:space="preserve">Informe de avance de obra </t>
  </si>
  <si>
    <t>Informe de actividades de manteniemiento</t>
  </si>
  <si>
    <t>Actas de Comité de aprobación</t>
  </si>
  <si>
    <t>Informe de actividades de mantenimiento</t>
  </si>
  <si>
    <t>Certificados</t>
  </si>
  <si>
    <t>Tabulación encuesta</t>
  </si>
  <si>
    <t>Actas  asistencia</t>
  </si>
  <si>
    <t>Informe y/o respectiva evidencia</t>
  </si>
  <si>
    <t>Informes Trimestrales</t>
  </si>
  <si>
    <t>&gt;5%</t>
  </si>
  <si>
    <t>&gt;8%</t>
  </si>
  <si>
    <t>&gt;=85%</t>
  </si>
  <si>
    <t>&lt;=30%</t>
  </si>
  <si>
    <t>Incremento Recaudo de cartera</t>
  </si>
  <si>
    <t>Cumplimiento del articulo 22 "Cobro Persuasivo" de la Resolución 072 de 2020 Manual Interno de recaudo de Cartera</t>
  </si>
  <si>
    <t>&gt;=10%</t>
  </si>
  <si>
    <t xml:space="preserve">Informe </t>
  </si>
  <si>
    <t>Valor recaudadotrimestre vigencia actua l / Valor recaudado trimestre vigencia anterior</t>
  </si>
  <si>
    <t>Promedio de cumplimiento de indicadores del modelo</t>
  </si>
  <si>
    <t>Promedio de cumplimiento de actividades que aplican según cronograma vigencia 2021</t>
  </si>
  <si>
    <t>Formato GER-F-04 Humanización de la atención en Salud Urgencias, GER-F-05 Humanización de la atención en Salud Hospitalización, GER-F-08Humanización de la atención en Salud UCI Neonatal</t>
  </si>
  <si>
    <t>Cumplimiento cronograma</t>
  </si>
  <si>
    <t>Innforme Resultados encuesta</t>
  </si>
  <si>
    <t xml:space="preserve">Formato GER-F-03 Cronograma de Trabajo Espacios de Esparcimiento </t>
  </si>
  <si>
    <t xml:space="preserve">Matriz Consolidad del análisis de cada una de las preguntas </t>
  </si>
  <si>
    <t>Promedio de cumplimiento de actividades que aplican según cronograma vigencia 2021 Proyecto Unidad de cancerología - fase 1</t>
  </si>
  <si>
    <t>Promedio de cumplimiento de actividades que aplican según cronograma vigencia 2021 Programa de rehabilitación pulmonar</t>
  </si>
  <si>
    <t>Promedio de cumplimiento de actividades que aplican según cronograma vigencia 2021 Programa clínica de osteoporosis</t>
  </si>
  <si>
    <t>Promedio de cumplimiento de actividades que aplican según cronograma vigencia 2021 Programa clínica de obesidad</t>
  </si>
  <si>
    <t xml:space="preserve">Promedio de cumplimiento de actividades que aplican según cronograma vigencia 2021Programa de pie diabético </t>
  </si>
  <si>
    <t>Promedio de cumplimiento de actividades que aplican según cronograma vigencia 2021 Programa hospital seguro contra la trombosis</t>
  </si>
  <si>
    <t>Promedio de cumplimiento de actividades que aplican según cronograma vigencia 2021 Programa clínica de anticoagulación</t>
  </si>
  <si>
    <t>Promedio de cumplimiento de actividades que aplican según cronograma vigencia 2021 Programa de donación de órganos</t>
  </si>
  <si>
    <t>Promedio de cumplimiento de actividades que aplican según cronograma vigencia 2021 Comité de bioética</t>
  </si>
  <si>
    <t>Promedio de cumplimiento de actividades que aplican según cronograma vigencia 2021 Laboratorio de pruebas de función pulmonar</t>
  </si>
  <si>
    <t>Promedio de cumplimiento de actividades que aplican según cronograma vigencia 2021 Programa de accesos vasculares</t>
  </si>
  <si>
    <t>Promedio de cumplimiento de actividades que aplican según cronograma vigencia 2021 Retinología</t>
  </si>
  <si>
    <t>Promedio de cumplimiento de actividades que aplican según cronograma vigencia 2021 Programa de extensión comunitaria</t>
  </si>
  <si>
    <t>Promedio de cumplimiento de actividades que aplican según cronograma vigencia 2021 Microcirugía</t>
  </si>
  <si>
    <t>Promedio de cumplimiento de actividades que aplican según cronograma vigencia 2021 Endocrinología pediátrica</t>
  </si>
  <si>
    <t>Promedio de cumplimiento de actividades que aplican según cronograma vigencia 2021 Neumología pediátrica</t>
  </si>
  <si>
    <t>Promedio de cumplimiento de actividades que aplican según cronograma vigencia 2021 Psiquiatría infantil</t>
  </si>
  <si>
    <t>&gt;90%</t>
  </si>
  <si>
    <t>Base de datos de espacios de difusión</t>
  </si>
  <si>
    <t>En el trimestre evaluado se realizó convenio con la Universidad Militar,  así como la alianza estrategica con fines de presentar convocatoria a Minciencias  con La universidad de Antioquia y Unmiversidad, debido a la confidencialidad de la información, esta resposa en el archivo digital de la oficica de Gestión Académica</t>
  </si>
  <si>
    <t>INTEGRIDAD</t>
  </si>
  <si>
    <t>TALENTO HUMANO</t>
  </si>
  <si>
    <t>PLANEACIÓN INSTITUCIONAL</t>
  </si>
  <si>
    <t>GESTIÓN PRESUPUESTAL Y EFICIENCIA DEL GASTO</t>
  </si>
  <si>
    <t>GOBIERNO DIGITAL</t>
  </si>
  <si>
    <t>DEFENSA JURIDICA</t>
  </si>
  <si>
    <t>RACIONALIZACION DE TRAMITES</t>
  </si>
  <si>
    <t>PARTICIPACION CIUDADANA EN  LA GESTION PUBLICA</t>
  </si>
  <si>
    <t>SEGUIMIENTO Y EVALUACION DEL DESEMPEÑO INSTITUCIONAL</t>
  </si>
  <si>
    <t>TRANSPARENCIA Y ACCESO A LA INFORMACION PUBLICA</t>
  </si>
  <si>
    <t>GESTION DE LA INFORMACION ESTADISTICA</t>
  </si>
  <si>
    <t xml:space="preserve">1, Se realiza seguimiento trimestral al plan de trabajo anual, 
</t>
  </si>
  <si>
    <t>Seguimiento a matrices de riesgo</t>
  </si>
  <si>
    <t>Acciones de control ejecutadas / Acciones de control identificadas</t>
  </si>
  <si>
    <t>Informe</t>
  </si>
  <si>
    <t xml:space="preserve">Trimestral </t>
  </si>
  <si>
    <t>Alianzas o convenios  firmadas</t>
  </si>
  <si>
    <t>Se cuenta con actas de comité en los cuales se aprueban los proyectos a someter a revista, a la fecha estan publicados 7 articulos, se anexa evidencia</t>
  </si>
  <si>
    <t>Productos de Investigación para someter a Revista.  Indicador anual, artículos publicados a la fecha</t>
  </si>
  <si>
    <t>Se enumera en informe soportes, listado de estapcios de Difusión, realizados por el Hopsital,  realizando 6 espacios de difusión de información en temas como capacitación a internos en investigación, vacunas COVID-19, osteporosis, artritis reumatoide, pacreatitis, entre otros</t>
  </si>
  <si>
    <t>Proyectos publicados en revista</t>
  </si>
  <si>
    <t>Fortalecer y articular la implementación del Programa de seguridad del paciente bajo el enfoque de adaptación y mitigación de riesgos.</t>
  </si>
  <si>
    <t>Diseñar e implementar  un nuevo modelo de  gestión basado en el flujo del paciente con  enfoque de Atención Primaria en Salud.</t>
  </si>
  <si>
    <t>Asesor Prestación de Servicios de Salud Hospitalarios</t>
  </si>
  <si>
    <t>OBJETIVO 5:Garantizar la gestión de los recursos que contribuyan a la competitividad y sostenibilidad de la organización.</t>
  </si>
  <si>
    <t>Mejora y fortalecimiento en los procesos administrativos y asistenciales, que incluyan la eficacia y eficiencia en los mismos minimizando el daño antijurídico.</t>
  </si>
  <si>
    <t>Rediseñar, socializar, implementar y evalúa evaluación al Programa de gestión institucional de los recursos financieros (PGIRF)</t>
  </si>
  <si>
    <t>Perfeccionar el sistema y análisis de costos para ofertar servicios competitivos como herramienta para la toma de decisiones.</t>
  </si>
  <si>
    <t>Cumplimiento de obra (Construcción)</t>
  </si>
  <si>
    <t>Construcciones ejecutadas / Construcciones solicitadas</t>
  </si>
  <si>
    <t>Cumplimiento de obra (Adecuación)</t>
  </si>
  <si>
    <t>Adecuaciones ejecutadas / Adecuaciones solicitadas</t>
  </si>
  <si>
    <t>Mantenimientos  predictivos  / Mantenimientos correctivos</t>
  </si>
  <si>
    <t>% Asistencia del plan de capacitación institucional personal de planta</t>
  </si>
  <si>
    <t>1 Alianza Estratégica</t>
  </si>
  <si>
    <t>Buenas practicas de elaboración  y Manufactura</t>
  </si>
  <si>
    <t>Sistema de Gestión Ambiental</t>
  </si>
  <si>
    <t>Sistema de Gestión en Seguridad y Salud en el Trabajo</t>
  </si>
  <si>
    <t>Proyectos de investigación competitiva a nivel regional y Nacional impactando positivamente el Fortalecimiento de la E.S.E Hospital Universitario San Rafael De Tunja y su zona de influencia.</t>
  </si>
  <si>
    <t>&gt;=0,5</t>
  </si>
  <si>
    <t>SERVICIO AL CIUDADANO</t>
  </si>
  <si>
    <t>Reporte cumplimiento 2° trimestre</t>
  </si>
  <si>
    <t>Avance Meta vigencia</t>
  </si>
  <si>
    <t>Avance Meta Vigencia General</t>
  </si>
  <si>
    <t>Programa de Humanización que involucre la sensibilización del talento humano con enfoque tanto para cliente interno</t>
  </si>
  <si>
    <t>Reporte cumplimiento 3er trimestre</t>
  </si>
  <si>
    <t>Resultado segundo Trimestre</t>
  </si>
  <si>
    <t>Reporte cumplimiento 3er° trimestre</t>
  </si>
  <si>
    <t>Resultado 3er Trimestre</t>
  </si>
  <si>
    <t>FORTALECIMIENTO INSTITUCIONAL Y SIMPLIFICACIÓN DE PROCESOS</t>
  </si>
  <si>
    <t>SEGRUIDAD DIGITAL</t>
  </si>
  <si>
    <t>GESTIÓN DEL CONOCIMIENTO</t>
  </si>
  <si>
    <t>PLAN OPERATIVO ANUAL 2022</t>
  </si>
  <si>
    <t>Implementación plan estratégico Resultante del análisis del Contexto</t>
  </si>
  <si>
    <t>META VIGENCIA 2022</t>
  </si>
  <si>
    <t>Cumplimiento Plan de mejora externo ICONTEC</t>
  </si>
  <si>
    <t>UCI Neonatal
Líder PMC</t>
  </si>
  <si>
    <t>Informe de Control Interno</t>
  </si>
  <si>
    <t>2doTRIMESTRE</t>
  </si>
  <si>
    <t>Cumplimiento del plan de fortalecimiento de la mejora continua</t>
  </si>
  <si>
    <t>Plan de fortalecimiento de la mejora continua</t>
  </si>
  <si>
    <t>Acto Administrativo de Actualización de Estructura de Costos</t>
  </si>
  <si>
    <t>Acto Administrativo de Actualización de Estructura de costos  /Acto Administrativo de Estructura de costos por Actualizar</t>
  </si>
  <si>
    <t>Parametrización de Centros de Costos</t>
  </si>
  <si>
    <t>Acciones incluidas en el plan de trabajo con cumplimiento / Acciones incluidas en el plan de trabajo</t>
  </si>
  <si>
    <t xml:space="preserve">Número de integraciones ejecutadas en la vigencia </t>
  </si>
  <si>
    <t>Número de proyectos ejecutados en la vigencia y que corresponden al periodo de medición según lo planeado / Número total de proyectos planeados a ejecutar en la vigencia</t>
  </si>
  <si>
    <t>Número de estudiantes satisfechos / Total de estudiantes que diligenciaron la encuesta de evaluación del escenario de práctica</t>
  </si>
  <si>
    <t>Satisfacción del Personal en Formación Internado Docencia-Servicio</t>
  </si>
  <si>
    <t xml:space="preserve">Resultados de aprendizaje y capacitación en formación continua. </t>
  </si>
  <si>
    <t>Número de capacitaciones de formación continua realizada al año</t>
  </si>
  <si>
    <t>Número de temas revisados / Número de temas planteados en los syllabus de rotación</t>
  </si>
  <si>
    <t>Número proyectos de investigación asociados a los grupos del HUSRT, publicados en revista</t>
  </si>
  <si>
    <t>Productos de Investigación publicados en Revista</t>
  </si>
  <si>
    <t>2 Congresos</t>
  </si>
  <si>
    <t>Repositorio Catedra San Rafa</t>
  </si>
  <si>
    <t>Informe ejecutivo</t>
  </si>
  <si>
    <t xml:space="preserve">Gestión y Seguimiento intrahospitalario </t>
  </si>
  <si>
    <t>Número de Seguimientos  Intrahospitalarios / Total de pacientes registrados en el periodo</t>
  </si>
  <si>
    <t>Resolución Adoptada</t>
  </si>
  <si>
    <t>Centro de costos parametrizado</t>
  </si>
  <si>
    <t> &gt;90%</t>
  </si>
  <si>
    <t>Consolidado</t>
  </si>
  <si>
    <t>OBSERVACIONES CONRTOL INTERNO</t>
  </si>
  <si>
    <t>FECHA: 25/04/2022</t>
  </si>
  <si>
    <t>VERSIÓN: 03</t>
  </si>
  <si>
    <t>VER3IÓN: 04</t>
  </si>
  <si>
    <t>Promedio de cumplimiento de actividades que aplican según cronograma vigencia 2022 Unidad de Radioterapia y Braquiterapia</t>
  </si>
  <si>
    <t>Promedio de cumplimiento de actividades que aplican según cronograma vigencia 2022 Hospitalización Domiciliaria</t>
  </si>
  <si>
    <t>Promedio de cumplimiento de actividades que aplican según cronograma vigencia 2022 UCI Coronaria</t>
  </si>
  <si>
    <t>Promedio de cumplimiento de actividades que aplican según cronograma vigencia 2022 Cirugía de Torax</t>
  </si>
  <si>
    <t>Promedio de cumplimiento de actividades que aplican según cronograma vigencia 2022 Cirugía de Cabeza y Cuello</t>
  </si>
  <si>
    <t>Promedio de cumplimiento de actividades que aplican según cronograma vigencia 2022 Cirugía Hepatobiliar</t>
  </si>
  <si>
    <t>Promedio de cumplimiento de actividades que aplican según cronograma vigencia 2022 Programa de Nefroprotección</t>
  </si>
  <si>
    <t>Promedio de cumplimiento de actividades que aplican según cronograma vigencia 2022 Programa Clínica de Dolor y Cuidado Paliativo</t>
  </si>
  <si>
    <t>Promedio de cumplimiento de actividades que aplican según cronograma vigencia 2022 Programa de Artritis Reumatoide</t>
  </si>
  <si>
    <t>Promedio de cumplimiento de actividades que aplican según cronograma vigencia 2022 Programa Clínica de Falla Cardiaca</t>
  </si>
  <si>
    <t>Promedio de cumplimiento de actividades que aplican según cronograma vigencia 2022 Programa de Rehabilitación Cardiaca</t>
  </si>
  <si>
    <t>Promedio de cumplimiento de actividades que aplican según cronograma vigencia 2022 Programa de Hipertensión Pulmonar</t>
  </si>
  <si>
    <t>Promedio de cumplimiento de actividades que aplican según cronograma vigencia 2022 Programa de Diabetes</t>
  </si>
  <si>
    <t>Unidad de Radioterapia y Braquiterapia</t>
  </si>
  <si>
    <t>Hospitalización Domiciliaria</t>
  </si>
  <si>
    <t>UCI Coronaria</t>
  </si>
  <si>
    <t xml:space="preserve"> Cirugía de Torax</t>
  </si>
  <si>
    <t>Cirugía de Cabeza y Cuello</t>
  </si>
  <si>
    <t>Cirugía Hepatobiliar</t>
  </si>
  <si>
    <t>Programa de Nefroprotección</t>
  </si>
  <si>
    <t xml:space="preserve"> Programa Clínica de Dolor y Cuidado Paliativo</t>
  </si>
  <si>
    <t xml:space="preserve"> Programa de Artritis Reumatoide</t>
  </si>
  <si>
    <t>Programa Clínica de Falla Cardiaca</t>
  </si>
  <si>
    <t>Programa de Rehabilitación Cardiaca</t>
  </si>
  <si>
    <t>Programa de Hipertensión Pulmonar</t>
  </si>
  <si>
    <t>Programa de Diabetes</t>
  </si>
  <si>
    <t>Número de actividades ejecutadas en la vigencia y que corresponde al periodo de medición según lo planeado / Número total de Actividades planeadas a ejecutar en la vigencia</t>
  </si>
  <si>
    <t>Integraciones ejecutadas en la vigencia</t>
  </si>
  <si>
    <t>INDICADOR / PRODUCTO</t>
  </si>
  <si>
    <t>Línea base del programa de prevención de daño antijurídico HUSRT</t>
  </si>
  <si>
    <t>Definición líena base del programa de prevención de Daño Antijurídico</t>
  </si>
  <si>
    <t># Actividades ejecutadas del Programa de Gestión del Riesgo y prevención de daño antijurídico / # Actividades programadas  del Programa de Gestión del Riesgo y prevención de daño antijurídico</t>
  </si>
  <si>
    <t xml:space="preserve">Informe jurídico que contendrá recomendaciones, cuando sea el caso, respecto del impacto de la gestión de los eventos adversos, en relación con los tres servicios mayormente involucrados en procesos judiciales, conforme a  la línea base del programa </t>
  </si>
  <si>
    <t>Reporte cumplimiento 2do Triemstre</t>
  </si>
  <si>
    <t>Reporte cumplimiento 3erTriemstre</t>
  </si>
  <si>
    <t>Farmacia</t>
  </si>
  <si>
    <t>Resultado indicador 1456 de Daruma</t>
  </si>
  <si>
    <t>Resultado indicador 1455 de Daruma</t>
  </si>
  <si>
    <t>Resultado indicador 1457 de Daruma</t>
  </si>
  <si>
    <t>Resultado indicador 1461 de Daruma</t>
  </si>
  <si>
    <t>Resultado indicador 1463 de Daruma</t>
  </si>
  <si>
    <t>Resultado indicador 1340 de Daruma</t>
  </si>
  <si>
    <t>Resultado indicador 1338 de Daruma</t>
  </si>
  <si>
    <t>Resultado indicador 546 de Daruma</t>
  </si>
  <si>
    <t>Resultado indicador 1435 de Daruma</t>
  </si>
  <si>
    <t>Ejecuciones presupuestales de ingresos</t>
  </si>
  <si>
    <t>Resultado indicador 1503 de Daruma</t>
  </si>
  <si>
    <t>Resultado indicador 1460 de Daruma</t>
  </si>
  <si>
    <t>Resultado indicador 608 de Daruma</t>
  </si>
  <si>
    <t>Total Informes trimestrales presentados / Total Informes presentados exigibles</t>
  </si>
  <si>
    <t>&gt;=0,00</t>
  </si>
  <si>
    <t>Resultado indicador 620 de Daruma</t>
  </si>
  <si>
    <t>Resultado indicador 1451 de Daruma</t>
  </si>
  <si>
    <t>% Incremento en la utilización de Quirófano</t>
  </si>
  <si>
    <t>% de Utilización Quirófano vigencia actual / % de Utilización Quirófano vigencia anterior - 1)</t>
  </si>
  <si>
    <t>Línea base Herramienta de Medición</t>
  </si>
  <si>
    <t>Evidencias aplicables al plan de acción del manual de daño antijurídico 
Informe de medición de las evidencias aplicables al plan de acción de manual de daño antijurídico</t>
  </si>
  <si>
    <t xml:space="preserve">Medición del mpacto de adherencia a guías, en relación con los servicios mayormente involucrados, conforme a la variación de la línea base del programa </t>
  </si>
  <si>
    <t xml:space="preserve">Informe jurídico que contendrá recomendaciones, cuando sea el caso, respecto del impacto de la adherencia o no a guías, con relación a los tres servicios mayormente involucrados en procesos judiciales, conforme a  la línea base del programa 
</t>
  </si>
  <si>
    <t xml:space="preserve">Medición del impacto de la gestión de eventos adversos, en relación con los servicios mayormente involucrados, conforme a la variación de línea base del programa </t>
  </si>
  <si>
    <t>Soportes documentales producto de la Ejecucción de las actividades del cronograma</t>
  </si>
  <si>
    <t>Cumplimiento actividades del programa de gestión del riesgo y prevención de daño antijurídico contenidas en el manual de daño antijurídico</t>
  </si>
  <si>
    <t xml:space="preserve">La periodicidad de medición es anual, sin al cierre del periodo evaluadoSe firmó Alianza entre el Hospital Universitario San Rafael de Tunja, como investigadores los Doctores Daniel Gerardo Fernández Ávila, Zulma Cucunubá y la Casa de Boyacá. </t>
  </si>
  <si>
    <t>FORTALECIMIENTO ORGANIZACIONAL Y SIMPLIFICACION DE PROCESOS</t>
  </si>
  <si>
    <t>GESTIÓN DEL CONOCIMIENTO Y LA INNOVACIÓN</t>
  </si>
  <si>
    <t>CONFLICTO DE INTERESES</t>
  </si>
  <si>
    <t>Ampliar la certificación en Buenas practicas de elaboración 
Mantener las Buenas practicas de manufactura</t>
  </si>
  <si>
    <t xml:space="preserve"> Cumplimiento de requisitos de Buenas practicas de elaboración y manufactura</t>
  </si>
  <si>
    <t>Implementación plan de trabajo de farmacia</t>
  </si>
  <si>
    <t>EPIDEMIOLOGIA Y  SALUD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</si>
</sst>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_(* #,##0_);_(* \(#,##0\);_(* &quot;-&quot;??_);_(@_)"/>
  </numFmts>
  <fonts count="47" x14ac:knownFonts="1">
    <font>
      <sz val="11"/>
      <color theme="1"/>
      <name val="Calibri"/>
      <family val="2"/>
      <scheme val="minor"/>
    </font>
    <font>
      <sz val="11"/>
      <color theme="1"/>
      <name val="Calibri"/>
      <family val="2"/>
      <scheme val="minor"/>
    </font>
    <font>
      <b/>
      <sz val="12"/>
      <color theme="1"/>
      <name val="Tahoma"/>
      <family val="2"/>
    </font>
    <font>
      <b/>
      <sz val="16"/>
      <color theme="1"/>
      <name val="Calibri"/>
      <family val="2"/>
      <scheme val="minor"/>
    </font>
    <font>
      <sz val="10"/>
      <color theme="1"/>
      <name val="Calibri"/>
      <family val="2"/>
      <scheme val="minor"/>
    </font>
    <font>
      <sz val="11"/>
      <color theme="1"/>
      <name val="Calibri"/>
      <family val="2"/>
    </font>
    <font>
      <b/>
      <sz val="10"/>
      <color theme="1"/>
      <name val="Tahoma"/>
      <family val="2"/>
    </font>
    <font>
      <b/>
      <sz val="11"/>
      <color theme="1"/>
      <name val="Tahoma"/>
      <family val="2"/>
    </font>
    <font>
      <sz val="10"/>
      <name val="Tahoma"/>
      <family val="2"/>
    </font>
    <font>
      <sz val="10"/>
      <color theme="1"/>
      <name val="Tahoma"/>
      <family val="2"/>
    </font>
    <font>
      <sz val="8"/>
      <name val="Tahoma"/>
      <family val="2"/>
    </font>
    <font>
      <sz val="20"/>
      <color theme="1"/>
      <name val="Calibri"/>
      <family val="2"/>
      <scheme val="minor"/>
    </font>
    <font>
      <sz val="22"/>
      <color theme="1"/>
      <name val="Calibri"/>
      <family val="2"/>
      <scheme val="minor"/>
    </font>
    <font>
      <b/>
      <sz val="10"/>
      <name val="Tahoma"/>
      <family val="2"/>
    </font>
    <font>
      <sz val="11"/>
      <color theme="1"/>
      <name val="Tahoma"/>
      <family val="2"/>
    </font>
    <font>
      <sz val="10"/>
      <color rgb="FFFF0000"/>
      <name val="Tahoma"/>
      <family val="2"/>
    </font>
    <font>
      <sz val="20"/>
      <color theme="1"/>
      <name val="Tahoma"/>
      <family val="2"/>
    </font>
    <font>
      <sz val="22"/>
      <color theme="1"/>
      <name val="Tahoma"/>
      <family val="2"/>
    </font>
    <font>
      <sz val="8"/>
      <color theme="1"/>
      <name val="Calibri"/>
      <family val="2"/>
      <scheme val="minor"/>
    </font>
    <font>
      <b/>
      <sz val="10"/>
      <color rgb="FF000000"/>
      <name val="Tahoma"/>
      <family val="2"/>
    </font>
    <font>
      <b/>
      <sz val="8"/>
      <color rgb="FF000000"/>
      <name val="Tahoma"/>
      <family val="2"/>
    </font>
    <font>
      <sz val="9"/>
      <color rgb="FF000000"/>
      <name val="Tahoma"/>
      <family val="2"/>
    </font>
    <font>
      <sz val="8"/>
      <color rgb="FF000000"/>
      <name val="Tahoma"/>
      <family val="2"/>
    </font>
    <font>
      <sz val="18"/>
      <color theme="1"/>
      <name val="Tahoma"/>
      <family val="2"/>
    </font>
    <font>
      <b/>
      <sz val="12"/>
      <color theme="1"/>
      <name val="Calibri"/>
      <family val="2"/>
      <scheme val="minor"/>
    </font>
    <font>
      <b/>
      <sz val="12"/>
      <color rgb="FF000000"/>
      <name val="Calibri"/>
      <family val="2"/>
    </font>
    <font>
      <sz val="12"/>
      <color theme="1"/>
      <name val="Calibri"/>
      <family val="2"/>
      <scheme val="minor"/>
    </font>
    <font>
      <b/>
      <sz val="18"/>
      <color theme="1"/>
      <name val="Calibri"/>
      <family val="2"/>
      <scheme val="minor"/>
    </font>
    <font>
      <b/>
      <sz val="12"/>
      <name val="Tahoma"/>
      <family val="2"/>
    </font>
    <font>
      <u/>
      <sz val="11"/>
      <color theme="10"/>
      <name val="Calibri"/>
      <family val="2"/>
    </font>
    <font>
      <sz val="12"/>
      <color theme="7" tint="-0.499984740745262"/>
      <name val="Calibri"/>
      <family val="2"/>
      <scheme val="minor"/>
    </font>
    <font>
      <sz val="12"/>
      <name val="Tahoma"/>
      <family val="2"/>
    </font>
    <font>
      <u/>
      <sz val="12"/>
      <color theme="7" tint="-0.499984740745262"/>
      <name val="Calibri"/>
      <family val="2"/>
    </font>
    <font>
      <u/>
      <sz val="12"/>
      <color theme="7" tint="-0.499984740745262"/>
      <name val="Calibri"/>
      <family val="2"/>
      <scheme val="minor"/>
    </font>
    <font>
      <b/>
      <sz val="12"/>
      <name val="Calibri"/>
      <family val="2"/>
      <scheme val="minor"/>
    </font>
    <font>
      <b/>
      <sz val="9"/>
      <color theme="1"/>
      <name val="Tahoma"/>
      <family val="2"/>
    </font>
    <font>
      <sz val="8"/>
      <name val="Calibri"/>
      <family val="2"/>
      <scheme val="minor"/>
    </font>
    <font>
      <b/>
      <sz val="8"/>
      <name val="Tahoma"/>
      <family val="2"/>
    </font>
    <font>
      <b/>
      <sz val="8"/>
      <color theme="1"/>
      <name val="Tahoma"/>
      <family val="2"/>
    </font>
    <font>
      <sz val="9"/>
      <name val="Tahoma"/>
      <family val="2"/>
    </font>
    <font>
      <sz val="11"/>
      <name val="Tahoma"/>
      <family val="2"/>
    </font>
    <font>
      <sz val="12"/>
      <color theme="1"/>
      <name val="Tahoma"/>
      <family val="2"/>
    </font>
    <font>
      <sz val="9"/>
      <color indexed="81"/>
      <name val="Tahoma"/>
      <family val="2"/>
    </font>
    <font>
      <b/>
      <sz val="9"/>
      <color indexed="81"/>
      <name val="Tahoma"/>
      <family val="2"/>
    </font>
    <font>
      <sz val="14"/>
      <color theme="1"/>
      <name val="Tahoma"/>
      <family val="2"/>
    </font>
    <font>
      <sz val="16"/>
      <color theme="1"/>
      <name val="Tahoma"/>
      <family val="2"/>
    </font>
    <font>
      <b/>
      <sz val="14"/>
      <color theme="1"/>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CAC0DA"/>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FFFFF"/>
        <bgColor indexed="64"/>
      </patternFill>
    </fill>
    <fill>
      <patternFill patternType="solid">
        <fgColor rgb="FF92D050"/>
        <bgColor indexed="64"/>
      </patternFill>
    </fill>
    <fill>
      <patternFill patternType="solid">
        <fgColor theme="0"/>
        <bgColor indexed="64"/>
      </patternFill>
    </fill>
    <fill>
      <patternFill patternType="solid">
        <fgColor rgb="FFD9D2E4"/>
        <bgColor indexed="64"/>
      </patternFill>
    </fill>
    <fill>
      <patternFill patternType="solid">
        <fgColor rgb="FFAFEAFF"/>
        <bgColor indexed="64"/>
      </patternFill>
    </fill>
    <fill>
      <patternFill patternType="solid">
        <fgColor rgb="FFFFFF00"/>
        <bgColor indexed="64"/>
      </patternFill>
    </fill>
    <fill>
      <patternFill patternType="solid">
        <fgColor theme="7" tint="0.39997558519241921"/>
        <bgColor indexed="64"/>
      </patternFill>
    </fill>
  </fills>
  <borders count="63">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10" fillId="0" borderId="0"/>
    <xf numFmtId="0" fontId="1" fillId="0" borderId="0"/>
    <xf numFmtId="0" fontId="29" fillId="0" borderId="0" applyNumberFormat="0" applyFill="0" applyBorder="0" applyAlignment="0" applyProtection="0">
      <alignment vertical="top"/>
      <protection locked="0"/>
    </xf>
  </cellStyleXfs>
  <cellXfs count="775">
    <xf numFmtId="0" fontId="0" fillId="0" borderId="0" xfId="0"/>
    <xf numFmtId="0" fontId="2" fillId="0" borderId="1" xfId="0" applyFont="1" applyBorder="1" applyAlignment="1" applyProtection="1">
      <alignment horizontal="center" vertical="center"/>
      <protection locked="0"/>
    </xf>
    <xf numFmtId="0" fontId="4" fillId="0" borderId="0" xfId="0" applyFont="1" applyProtection="1">
      <protection locked="0"/>
    </xf>
    <xf numFmtId="0" fontId="4" fillId="0" borderId="0" xfId="0" applyFont="1" applyAlignment="1" applyProtection="1">
      <alignment horizontal="center"/>
      <protection locked="0"/>
    </xf>
    <xf numFmtId="9" fontId="6" fillId="2" borderId="7" xfId="2" applyFont="1" applyFill="1" applyBorder="1" applyAlignment="1" applyProtection="1">
      <alignment horizontal="center" vertical="center" wrapText="1"/>
      <protection locked="0"/>
    </xf>
    <xf numFmtId="9" fontId="6" fillId="4" borderId="7" xfId="2" applyFont="1" applyFill="1" applyBorder="1" applyAlignment="1" applyProtection="1">
      <alignment horizontal="center" vertical="center" wrapText="1"/>
      <protection locked="0"/>
    </xf>
    <xf numFmtId="9" fontId="8" fillId="0" borderId="7" xfId="3" applyNumberFormat="1" applyFont="1" applyFill="1" applyBorder="1" applyAlignment="1" applyProtection="1">
      <alignment horizontal="center" vertical="center" wrapText="1"/>
      <protection locked="0"/>
    </xf>
    <xf numFmtId="9" fontId="8" fillId="0" borderId="7" xfId="2" applyFont="1" applyFill="1" applyBorder="1" applyAlignment="1" applyProtection="1">
      <alignment horizontal="center" vertical="center"/>
    </xf>
    <xf numFmtId="165" fontId="8" fillId="0" borderId="7" xfId="2" applyNumberFormat="1" applyFont="1" applyFill="1" applyBorder="1" applyAlignment="1" applyProtection="1">
      <alignment horizontal="center" vertical="center"/>
    </xf>
    <xf numFmtId="9" fontId="4" fillId="3" borderId="7" xfId="2" applyFont="1" applyFill="1" applyBorder="1" applyAlignment="1" applyProtection="1">
      <alignment vertical="center"/>
    </xf>
    <xf numFmtId="9" fontId="8" fillId="0" borderId="11" xfId="2" applyFont="1" applyFill="1" applyBorder="1" applyAlignment="1" applyProtection="1">
      <alignment horizontal="center" vertical="center"/>
      <protection locked="0"/>
    </xf>
    <xf numFmtId="0" fontId="8" fillId="0" borderId="7" xfId="3" applyFont="1" applyFill="1" applyBorder="1" applyAlignment="1" applyProtection="1">
      <alignment horizontal="center" vertical="center" wrapText="1"/>
      <protection locked="0"/>
    </xf>
    <xf numFmtId="0" fontId="8" fillId="0" borderId="7" xfId="3" applyFont="1" applyFill="1" applyBorder="1" applyAlignment="1" applyProtection="1">
      <alignment vertical="center" wrapText="1"/>
      <protection locked="0"/>
    </xf>
    <xf numFmtId="9" fontId="8" fillId="0" borderId="11" xfId="2" applyFont="1" applyFill="1" applyBorder="1" applyAlignment="1" applyProtection="1">
      <alignment horizontal="center" vertical="center"/>
    </xf>
    <xf numFmtId="0" fontId="9" fillId="0" borderId="0" xfId="0" applyFont="1" applyAlignment="1">
      <alignment vertical="center" wrapText="1"/>
    </xf>
    <xf numFmtId="164" fontId="8" fillId="0" borderId="7" xfId="1" applyFont="1" applyFill="1" applyBorder="1" applyAlignment="1" applyProtection="1">
      <alignment horizontal="center" vertical="center" wrapText="1"/>
      <protection locked="0"/>
    </xf>
    <xf numFmtId="166" fontId="8" fillId="0" borderId="7" xfId="3" applyNumberFormat="1" applyFont="1" applyFill="1" applyBorder="1" applyAlignment="1" applyProtection="1">
      <alignment horizontal="center" vertical="center" wrapText="1"/>
      <protection locked="0"/>
    </xf>
    <xf numFmtId="0" fontId="8" fillId="0" borderId="7" xfId="2" applyNumberFormat="1" applyFont="1" applyFill="1" applyBorder="1" applyAlignment="1" applyProtection="1">
      <alignment horizontal="center" vertical="center"/>
    </xf>
    <xf numFmtId="0" fontId="8" fillId="0" borderId="7" xfId="3" applyNumberFormat="1" applyFont="1" applyFill="1" applyBorder="1" applyAlignment="1" applyProtection="1">
      <alignment horizontal="center" vertical="center" wrapText="1"/>
      <protection locked="0"/>
    </xf>
    <xf numFmtId="9" fontId="8" fillId="0" borderId="7" xfId="4" applyNumberFormat="1" applyFont="1" applyFill="1" applyBorder="1" applyAlignment="1" applyProtection="1">
      <alignment horizontal="center" vertical="center" wrapText="1"/>
      <protection locked="0"/>
    </xf>
    <xf numFmtId="0" fontId="8" fillId="0" borderId="7" xfId="4" applyFont="1" applyFill="1" applyBorder="1" applyAlignment="1" applyProtection="1">
      <alignment vertical="center" wrapText="1"/>
      <protection locked="0"/>
    </xf>
    <xf numFmtId="1" fontId="8" fillId="0" borderId="7" xfId="1" applyNumberFormat="1" applyFont="1" applyFill="1" applyBorder="1" applyAlignment="1" applyProtection="1">
      <alignment horizontal="center" vertical="center" wrapText="1"/>
      <protection locked="0"/>
    </xf>
    <xf numFmtId="1" fontId="8" fillId="0" borderId="7" xfId="3" applyNumberFormat="1" applyFont="1" applyFill="1" applyBorder="1" applyAlignment="1" applyProtection="1">
      <alignment horizontal="center" vertical="center" wrapText="1"/>
      <protection locked="0"/>
    </xf>
    <xf numFmtId="0" fontId="8" fillId="0" borderId="7" xfId="4" applyFont="1" applyFill="1" applyBorder="1" applyAlignment="1" applyProtection="1">
      <alignment horizontal="left" vertical="center" wrapText="1"/>
      <protection locked="0"/>
    </xf>
    <xf numFmtId="9" fontId="4" fillId="3" borderId="7" xfId="2" applyFont="1" applyFill="1" applyBorder="1" applyProtection="1">
      <protection locked="0"/>
    </xf>
    <xf numFmtId="9" fontId="12" fillId="5" borderId="7" xfId="2" applyFont="1" applyFill="1" applyBorder="1" applyAlignment="1" applyProtection="1">
      <alignment horizontal="center" vertical="center"/>
      <protection locked="0"/>
    </xf>
    <xf numFmtId="9" fontId="9" fillId="7" borderId="7" xfId="2" applyFont="1" applyFill="1" applyBorder="1" applyAlignment="1" applyProtection="1">
      <alignment horizontal="center" vertical="center"/>
    </xf>
    <xf numFmtId="0" fontId="9" fillId="0" borderId="7" xfId="0" applyFont="1" applyBorder="1" applyProtection="1">
      <protection locked="0"/>
    </xf>
    <xf numFmtId="0" fontId="9" fillId="0" borderId="7" xfId="0" applyFont="1" applyFill="1" applyBorder="1" applyAlignment="1" applyProtection="1">
      <alignment horizontal="justify" vertical="top"/>
      <protection locked="0"/>
    </xf>
    <xf numFmtId="0" fontId="9" fillId="0" borderId="0" xfId="0" applyFont="1" applyProtection="1">
      <protection locked="0"/>
    </xf>
    <xf numFmtId="0" fontId="8" fillId="0" borderId="7" xfId="0" applyFont="1" applyFill="1" applyBorder="1" applyAlignment="1" applyProtection="1">
      <alignment horizontal="justify" vertical="top"/>
      <protection locked="0"/>
    </xf>
    <xf numFmtId="0" fontId="9" fillId="0" borderId="7" xfId="0" applyFont="1" applyFill="1" applyBorder="1" applyProtection="1">
      <protection locked="0"/>
    </xf>
    <xf numFmtId="0" fontId="15" fillId="0" borderId="7" xfId="0" applyFont="1" applyFill="1" applyBorder="1" applyAlignment="1" applyProtection="1">
      <alignment horizontal="justify" vertical="top"/>
      <protection locked="0"/>
    </xf>
    <xf numFmtId="0" fontId="6" fillId="0" borderId="7" xfId="0" applyFont="1" applyFill="1" applyBorder="1" applyAlignment="1" applyProtection="1">
      <alignment horizontal="center" vertical="center" wrapText="1"/>
      <protection locked="0"/>
    </xf>
    <xf numFmtId="0" fontId="9" fillId="0" borderId="7" xfId="0" applyFont="1" applyBorder="1" applyAlignment="1" applyProtection="1">
      <alignment vertical="center"/>
      <protection locked="0"/>
    </xf>
    <xf numFmtId="0" fontId="9" fillId="0" borderId="7" xfId="0" applyFont="1" applyFill="1" applyBorder="1" applyAlignment="1" applyProtection="1">
      <alignment horizontal="justify" vertical="center" wrapText="1"/>
      <protection locked="0"/>
    </xf>
    <xf numFmtId="0" fontId="9" fillId="0" borderId="7" xfId="0" applyFont="1" applyFill="1" applyBorder="1" applyAlignment="1" applyProtection="1">
      <alignment horizontal="justify" vertical="center"/>
      <protection locked="0"/>
    </xf>
    <xf numFmtId="0" fontId="9" fillId="0" borderId="0" xfId="0" applyFont="1" applyAlignment="1" applyProtection="1">
      <alignment vertical="center"/>
      <protection locked="0"/>
    </xf>
    <xf numFmtId="9" fontId="9" fillId="0" borderId="0" xfId="2" applyFont="1" applyProtection="1">
      <protection locked="0"/>
    </xf>
    <xf numFmtId="9" fontId="4" fillId="7" borderId="7" xfId="2" applyFont="1" applyFill="1" applyBorder="1" applyAlignment="1" applyProtection="1">
      <alignment vertical="center"/>
    </xf>
    <xf numFmtId="9" fontId="8" fillId="8" borderId="7" xfId="3" applyNumberFormat="1" applyFont="1" applyFill="1" applyBorder="1" applyAlignment="1" applyProtection="1">
      <alignment horizontal="center" vertical="center" wrapText="1"/>
      <protection locked="0"/>
    </xf>
    <xf numFmtId="0" fontId="8" fillId="8" borderId="7" xfId="3" applyFont="1" applyFill="1" applyBorder="1" applyAlignment="1" applyProtection="1">
      <alignment horizontal="center" vertical="center" wrapText="1"/>
      <protection locked="0"/>
    </xf>
    <xf numFmtId="9" fontId="8" fillId="8" borderId="7" xfId="4" applyNumberFormat="1" applyFont="1" applyFill="1" applyBorder="1" applyAlignment="1" applyProtection="1">
      <alignment horizontal="center" vertical="center" wrapText="1"/>
      <protection locked="0"/>
    </xf>
    <xf numFmtId="9" fontId="8" fillId="9" borderId="7" xfId="2" applyFont="1" applyFill="1" applyBorder="1" applyAlignment="1" applyProtection="1">
      <alignment horizontal="center" vertical="center"/>
    </xf>
    <xf numFmtId="165" fontId="8" fillId="9" borderId="7" xfId="2" applyNumberFormat="1" applyFont="1" applyFill="1" applyBorder="1" applyAlignment="1" applyProtection="1">
      <alignment horizontal="center" vertical="center"/>
    </xf>
    <xf numFmtId="9" fontId="8" fillId="9" borderId="7" xfId="2" applyFont="1" applyFill="1" applyBorder="1" applyAlignment="1" applyProtection="1">
      <alignment horizontal="center" vertical="center"/>
      <protection locked="0"/>
    </xf>
    <xf numFmtId="0" fontId="8" fillId="0" borderId="11" xfId="3" applyFont="1" applyFill="1" applyBorder="1" applyAlignment="1" applyProtection="1">
      <alignment horizontal="left" vertical="center" wrapText="1"/>
      <protection locked="0"/>
    </xf>
    <xf numFmtId="0" fontId="8" fillId="0" borderId="11" xfId="3" applyFont="1" applyFill="1" applyBorder="1" applyAlignment="1" applyProtection="1">
      <alignment horizontal="center" vertical="center" wrapText="1"/>
      <protection locked="0"/>
    </xf>
    <xf numFmtId="9" fontId="8" fillId="0" borderId="11" xfId="3" applyNumberFormat="1" applyFont="1" applyFill="1" applyBorder="1" applyAlignment="1" applyProtection="1">
      <alignment horizontal="center" vertical="center" wrapText="1"/>
      <protection locked="0"/>
    </xf>
    <xf numFmtId="0" fontId="0" fillId="0" borderId="0" xfId="0" applyAlignment="1">
      <alignment wrapText="1"/>
    </xf>
    <xf numFmtId="0" fontId="18" fillId="0" borderId="0" xfId="0" applyFont="1" applyAlignment="1">
      <alignment wrapText="1"/>
    </xf>
    <xf numFmtId="0" fontId="21" fillId="0" borderId="7" xfId="0" applyFont="1" applyBorder="1" applyAlignment="1">
      <alignment horizontal="center" vertical="center"/>
    </xf>
    <xf numFmtId="0" fontId="21" fillId="0" borderId="7" xfId="0" applyFont="1" applyBorder="1" applyAlignment="1">
      <alignment horizontal="justify" vertical="center"/>
    </xf>
    <xf numFmtId="0" fontId="21" fillId="0" borderId="7" xfId="0" applyFont="1" applyBorder="1" applyAlignment="1">
      <alignment horizontal="center" vertical="center" wrapText="1"/>
    </xf>
    <xf numFmtId="0" fontId="22" fillId="0" borderId="7" xfId="0" applyFont="1" applyBorder="1" applyAlignment="1">
      <alignment horizontal="center" vertical="center" wrapText="1"/>
    </xf>
    <xf numFmtId="9" fontId="8" fillId="0" borderId="7" xfId="2" applyFont="1" applyFill="1" applyBorder="1" applyAlignment="1" applyProtection="1">
      <alignment horizontal="center" vertical="center" wrapText="1"/>
      <protection locked="0"/>
    </xf>
    <xf numFmtId="9" fontId="9" fillId="0" borderId="0" xfId="2" applyFont="1" applyAlignment="1" applyProtection="1">
      <alignment horizontal="center" vertical="center"/>
      <protection locked="0"/>
    </xf>
    <xf numFmtId="9" fontId="8" fillId="0" borderId="7" xfId="2" applyFont="1" applyFill="1" applyBorder="1" applyAlignment="1" applyProtection="1">
      <alignment horizontal="center" vertical="center" wrapText="1"/>
    </xf>
    <xf numFmtId="0" fontId="9" fillId="0" borderId="0" xfId="0" applyFont="1" applyFill="1" applyProtection="1">
      <protection locked="0"/>
    </xf>
    <xf numFmtId="9" fontId="16" fillId="0" borderId="13" xfId="2" applyFont="1" applyFill="1" applyBorder="1" applyAlignment="1" applyProtection="1">
      <alignment horizontal="center" vertical="center"/>
      <protection locked="0"/>
    </xf>
    <xf numFmtId="9" fontId="16" fillId="0" borderId="7" xfId="2" applyFont="1" applyFill="1" applyBorder="1" applyAlignment="1" applyProtection="1">
      <alignment horizontal="center" vertical="center"/>
      <protection locked="0"/>
    </xf>
    <xf numFmtId="0" fontId="9" fillId="0" borderId="0" xfId="0" applyFont="1" applyAlignment="1" applyProtection="1">
      <alignment wrapText="1"/>
      <protection locked="0"/>
    </xf>
    <xf numFmtId="0" fontId="9" fillId="0" borderId="7" xfId="0" applyFont="1" applyBorder="1" applyAlignment="1" applyProtection="1">
      <alignment wrapText="1"/>
      <protection locked="0"/>
    </xf>
    <xf numFmtId="0" fontId="14" fillId="0" borderId="7" xfId="3" applyFont="1" applyFill="1" applyBorder="1" applyAlignment="1">
      <alignment vertical="center" wrapText="1"/>
    </xf>
    <xf numFmtId="0" fontId="14" fillId="0" borderId="7" xfId="3" applyFont="1" applyFill="1" applyBorder="1" applyAlignment="1">
      <alignment horizontal="center" vertical="center" wrapText="1"/>
    </xf>
    <xf numFmtId="0" fontId="6" fillId="2" borderId="11" xfId="3" applyFont="1" applyFill="1" applyBorder="1" applyAlignment="1" applyProtection="1">
      <alignment horizontal="center" vertical="center" wrapText="1"/>
      <protection locked="0"/>
    </xf>
    <xf numFmtId="0" fontId="8" fillId="0" borderId="11" xfId="3" applyFont="1" applyFill="1" applyBorder="1" applyAlignment="1" applyProtection="1">
      <alignment horizontal="center" vertical="center" wrapText="1"/>
      <protection locked="0"/>
    </xf>
    <xf numFmtId="9" fontId="8" fillId="0" borderId="11" xfId="3" applyNumberFormat="1" applyFont="1" applyFill="1" applyBorder="1" applyAlignment="1" applyProtection="1">
      <alignment horizontal="center" vertical="center" wrapText="1"/>
      <protection locked="0"/>
    </xf>
    <xf numFmtId="0" fontId="8" fillId="0" borderId="11" xfId="3" applyFont="1" applyFill="1" applyBorder="1" applyAlignment="1" applyProtection="1">
      <alignment horizontal="left" vertical="center" wrapText="1"/>
      <protection locked="0"/>
    </xf>
    <xf numFmtId="0" fontId="8" fillId="0" borderId="11" xfId="4" applyFont="1" applyFill="1" applyBorder="1" applyAlignment="1" applyProtection="1">
      <alignment horizontal="left" vertical="center" wrapText="1"/>
      <protection locked="0"/>
    </xf>
    <xf numFmtId="0" fontId="8" fillId="0" borderId="11" xfId="3" applyFont="1" applyFill="1" applyBorder="1" applyAlignment="1" applyProtection="1">
      <alignment horizontal="center" vertical="center" wrapText="1"/>
      <protection locked="0"/>
    </xf>
    <xf numFmtId="9" fontId="8" fillId="0" borderId="11" xfId="3" applyNumberFormat="1" applyFont="1" applyFill="1" applyBorder="1" applyAlignment="1" applyProtection="1">
      <alignment horizontal="center" vertical="center" wrapText="1"/>
      <protection locked="0"/>
    </xf>
    <xf numFmtId="0" fontId="0" fillId="0" borderId="0" xfId="0" applyAlignment="1">
      <alignment horizontal="center"/>
    </xf>
    <xf numFmtId="9" fontId="8" fillId="0" borderId="7" xfId="2" applyFont="1" applyFill="1" applyBorder="1" applyAlignment="1" applyProtection="1">
      <alignment horizontal="center" vertical="center"/>
      <protection locked="0"/>
    </xf>
    <xf numFmtId="9" fontId="9" fillId="0" borderId="7" xfId="2" applyFont="1" applyFill="1" applyBorder="1" applyAlignment="1" applyProtection="1">
      <alignment horizontal="center" vertical="center"/>
    </xf>
    <xf numFmtId="0" fontId="9" fillId="0" borderId="0" xfId="0" applyFont="1" applyAlignment="1" applyProtection="1">
      <alignment horizontal="center" vertical="center"/>
      <protection locked="0"/>
    </xf>
    <xf numFmtId="0" fontId="9" fillId="0" borderId="7" xfId="0" applyFont="1" applyBorder="1" applyAlignment="1">
      <alignment vertical="center" wrapText="1"/>
    </xf>
    <xf numFmtId="167" fontId="8" fillId="0" borderId="7" xfId="1" applyNumberFormat="1" applyFont="1" applyFill="1" applyBorder="1" applyAlignment="1" applyProtection="1">
      <alignment horizontal="center" vertical="center" wrapText="1"/>
      <protection locked="0"/>
    </xf>
    <xf numFmtId="167" fontId="8" fillId="0" borderId="7" xfId="1" applyNumberFormat="1" applyFont="1" applyFill="1" applyBorder="1" applyAlignment="1" applyProtection="1">
      <alignment horizontal="center" vertical="center" wrapText="1"/>
    </xf>
    <xf numFmtId="167" fontId="8" fillId="0" borderId="7" xfId="1" applyNumberFormat="1" applyFont="1" applyFill="1" applyBorder="1" applyAlignment="1" applyProtection="1">
      <alignment horizontal="center" vertical="center"/>
      <protection locked="0"/>
    </xf>
    <xf numFmtId="167" fontId="16" fillId="0" borderId="13" xfId="1" applyNumberFormat="1" applyFont="1" applyFill="1" applyBorder="1" applyAlignment="1" applyProtection="1">
      <alignment horizontal="center" vertical="center"/>
      <protection locked="0"/>
    </xf>
    <xf numFmtId="0" fontId="8" fillId="0" borderId="7" xfId="0" applyFont="1" applyBorder="1" applyAlignment="1">
      <alignment horizontal="center" vertical="center"/>
    </xf>
    <xf numFmtId="1" fontId="8" fillId="0" borderId="7" xfId="2" applyNumberFormat="1" applyFont="1" applyBorder="1" applyAlignment="1">
      <alignment horizontal="center" vertical="center" wrapText="1"/>
    </xf>
    <xf numFmtId="0" fontId="8" fillId="10" borderId="7"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9" fillId="0" borderId="7" xfId="3" applyFont="1" applyFill="1" applyBorder="1" applyAlignment="1">
      <alignment horizontal="center" vertical="center" wrapText="1"/>
    </xf>
    <xf numFmtId="9" fontId="8" fillId="0" borderId="7" xfId="3" applyNumberFormat="1" applyFont="1" applyFill="1" applyBorder="1" applyAlignment="1" applyProtection="1">
      <alignment vertical="center" wrapText="1"/>
      <protection locked="0"/>
    </xf>
    <xf numFmtId="0" fontId="26" fillId="12" borderId="20" xfId="0" applyFont="1" applyFill="1" applyBorder="1"/>
    <xf numFmtId="0" fontId="26" fillId="12" borderId="21" xfId="0" applyFont="1" applyFill="1" applyBorder="1"/>
    <xf numFmtId="0" fontId="26" fillId="12" borderId="22" xfId="0" applyFont="1" applyFill="1" applyBorder="1"/>
    <xf numFmtId="0" fontId="24" fillId="12" borderId="23" xfId="0" applyFont="1" applyFill="1" applyBorder="1"/>
    <xf numFmtId="0" fontId="26" fillId="12" borderId="0" xfId="0" applyFont="1" applyFill="1" applyBorder="1"/>
    <xf numFmtId="9" fontId="28" fillId="12" borderId="14" xfId="0" applyNumberFormat="1" applyFont="1" applyFill="1" applyBorder="1"/>
    <xf numFmtId="9" fontId="28" fillId="12" borderId="24" xfId="0" applyNumberFormat="1" applyFont="1" applyFill="1" applyBorder="1"/>
    <xf numFmtId="0" fontId="26" fillId="12" borderId="23" xfId="0" applyFont="1" applyFill="1" applyBorder="1"/>
    <xf numFmtId="0" fontId="26" fillId="12" borderId="25" xfId="0" applyFont="1" applyFill="1" applyBorder="1"/>
    <xf numFmtId="0" fontId="30" fillId="12" borderId="0" xfId="0" applyFont="1" applyFill="1" applyBorder="1"/>
    <xf numFmtId="9" fontId="31" fillId="12" borderId="7" xfId="0" applyNumberFormat="1" applyFont="1" applyFill="1" applyBorder="1"/>
    <xf numFmtId="0" fontId="32" fillId="12" borderId="25" xfId="6" applyFont="1" applyFill="1" applyBorder="1" applyAlignment="1" applyProtection="1"/>
    <xf numFmtId="0" fontId="32" fillId="12" borderId="26" xfId="6" applyFont="1" applyFill="1" applyBorder="1" applyAlignment="1" applyProtection="1"/>
    <xf numFmtId="0" fontId="30" fillId="12" borderId="25" xfId="0" applyFont="1" applyFill="1" applyBorder="1"/>
    <xf numFmtId="0" fontId="26" fillId="12" borderId="27" xfId="0" applyFont="1" applyFill="1" applyBorder="1"/>
    <xf numFmtId="0" fontId="32" fillId="12" borderId="0" xfId="6" applyFont="1" applyFill="1" applyBorder="1" applyAlignment="1" applyProtection="1"/>
    <xf numFmtId="0" fontId="33" fillId="12" borderId="23" xfId="0" applyFont="1" applyFill="1" applyBorder="1"/>
    <xf numFmtId="0" fontId="26" fillId="12" borderId="28" xfId="0" applyFont="1" applyFill="1" applyBorder="1"/>
    <xf numFmtId="0" fontId="30" fillId="12" borderId="10" xfId="0" applyFont="1" applyFill="1" applyBorder="1"/>
    <xf numFmtId="0" fontId="26" fillId="12" borderId="10" xfId="0" applyFont="1" applyFill="1" applyBorder="1"/>
    <xf numFmtId="0" fontId="30" fillId="12" borderId="29" xfId="0" applyFont="1" applyFill="1" applyBorder="1"/>
    <xf numFmtId="0" fontId="30" fillId="12" borderId="28" xfId="0" applyFont="1" applyFill="1" applyBorder="1"/>
    <xf numFmtId="0" fontId="26" fillId="12" borderId="29" xfId="0" applyFont="1" applyFill="1" applyBorder="1"/>
    <xf numFmtId="9" fontId="24" fillId="11" borderId="30" xfId="2" applyFont="1" applyFill="1" applyBorder="1" applyAlignment="1">
      <alignment horizontal="center" vertical="center"/>
    </xf>
    <xf numFmtId="0" fontId="9" fillId="0" borderId="7" xfId="0" applyFont="1" applyBorder="1" applyAlignment="1">
      <alignment horizontal="center" vertical="center" wrapText="1"/>
    </xf>
    <xf numFmtId="9" fontId="8" fillId="0" borderId="7" xfId="0" applyNumberFormat="1" applyFont="1" applyBorder="1" applyAlignment="1">
      <alignment horizontal="center" vertical="center" wrapText="1"/>
    </xf>
    <xf numFmtId="9" fontId="8" fillId="0" borderId="7" xfId="0" applyNumberFormat="1" applyFont="1" applyBorder="1" applyAlignment="1">
      <alignment vertical="center" wrapText="1"/>
    </xf>
    <xf numFmtId="0" fontId="9" fillId="0" borderId="0" xfId="0" applyFont="1" applyAlignment="1" applyProtection="1">
      <alignment horizontal="center"/>
      <protection locked="0"/>
    </xf>
    <xf numFmtId="0" fontId="0" fillId="0" borderId="0" xfId="0" applyBorder="1"/>
    <xf numFmtId="0" fontId="24" fillId="12" borderId="0" xfId="0" applyFont="1" applyFill="1" applyBorder="1"/>
    <xf numFmtId="0" fontId="33" fillId="12" borderId="10" xfId="0" applyFont="1" applyFill="1" applyBorder="1"/>
    <xf numFmtId="0" fontId="0" fillId="13" borderId="0" xfId="0" applyFill="1" applyBorder="1"/>
    <xf numFmtId="0" fontId="26" fillId="13" borderId="19" xfId="0" applyFont="1" applyFill="1" applyBorder="1" applyAlignment="1">
      <alignment horizontal="center"/>
    </xf>
    <xf numFmtId="0" fontId="26" fillId="13" borderId="0" xfId="0" applyFont="1" applyFill="1" applyBorder="1"/>
    <xf numFmtId="0" fontId="26" fillId="13" borderId="7" xfId="0" applyFont="1" applyFill="1" applyBorder="1"/>
    <xf numFmtId="0" fontId="26" fillId="13" borderId="7" xfId="0" applyFont="1" applyFill="1" applyBorder="1" applyAlignment="1">
      <alignment horizontal="center"/>
    </xf>
    <xf numFmtId="9" fontId="26" fillId="13" borderId="0" xfId="0" applyNumberFormat="1" applyFont="1" applyFill="1" applyBorder="1"/>
    <xf numFmtId="0" fontId="0" fillId="0" borderId="26" xfId="0" applyBorder="1" applyAlignment="1">
      <alignment vertical="top" wrapText="1"/>
    </xf>
    <xf numFmtId="0" fontId="0" fillId="0" borderId="26" xfId="0" applyBorder="1" applyAlignment="1">
      <alignment vertical="center" wrapText="1"/>
    </xf>
    <xf numFmtId="0" fontId="0" fillId="13" borderId="22" xfId="0" applyFill="1" applyBorder="1"/>
    <xf numFmtId="0" fontId="0" fillId="13" borderId="25" xfId="0" applyFill="1" applyBorder="1"/>
    <xf numFmtId="0" fontId="0" fillId="13" borderId="29" xfId="0" applyFill="1" applyBorder="1"/>
    <xf numFmtId="9" fontId="8" fillId="0" borderId="7" xfId="2" applyFont="1" applyBorder="1" applyAlignment="1">
      <alignment horizontal="center" vertical="center"/>
    </xf>
    <xf numFmtId="9" fontId="16" fillId="2" borderId="13" xfId="2" applyFont="1" applyFill="1" applyBorder="1" applyAlignment="1" applyProtection="1">
      <alignment horizontal="center" vertical="center"/>
      <protection locked="0"/>
    </xf>
    <xf numFmtId="0" fontId="21" fillId="0" borderId="7" xfId="0" applyFont="1" applyFill="1" applyBorder="1" applyAlignment="1">
      <alignment horizontal="center" vertical="center" wrapText="1"/>
    </xf>
    <xf numFmtId="9" fontId="8" fillId="0" borderId="7" xfId="2" applyFont="1" applyFill="1" applyBorder="1" applyAlignment="1">
      <alignment horizontal="center" vertical="center"/>
    </xf>
    <xf numFmtId="0" fontId="9" fillId="0" borderId="0" xfId="0" applyFont="1" applyBorder="1" applyAlignment="1" applyProtection="1">
      <alignment wrapText="1"/>
      <protection locked="0"/>
    </xf>
    <xf numFmtId="0" fontId="9" fillId="0" borderId="0" xfId="0" applyFont="1" applyBorder="1" applyProtection="1">
      <protection locked="0"/>
    </xf>
    <xf numFmtId="9" fontId="8" fillId="2" borderId="7" xfId="0" applyNumberFormat="1" applyFont="1" applyFill="1" applyBorder="1" applyAlignment="1">
      <alignment horizontal="center" vertical="center" wrapText="1"/>
    </xf>
    <xf numFmtId="167" fontId="16" fillId="2" borderId="13" xfId="1" applyNumberFormat="1" applyFont="1" applyFill="1" applyBorder="1" applyAlignment="1" applyProtection="1">
      <alignment horizontal="center" vertical="center"/>
      <protection locked="0"/>
    </xf>
    <xf numFmtId="0" fontId="0" fillId="2" borderId="7" xfId="0" applyFill="1" applyBorder="1"/>
    <xf numFmtId="9" fontId="9" fillId="0" borderId="0" xfId="2" applyFont="1" applyFill="1" applyAlignment="1" applyProtection="1">
      <alignment horizontal="center" vertical="center"/>
      <protection locked="0"/>
    </xf>
    <xf numFmtId="9" fontId="6" fillId="0" borderId="7" xfId="2" applyFont="1" applyFill="1" applyBorder="1" applyAlignment="1" applyProtection="1">
      <alignment horizontal="center" vertical="center" wrapText="1"/>
      <protection locked="0"/>
    </xf>
    <xf numFmtId="9" fontId="8" fillId="0" borderId="13" xfId="2" applyFont="1" applyFill="1" applyBorder="1" applyAlignment="1" applyProtection="1">
      <alignment horizontal="center" vertical="center" wrapText="1"/>
    </xf>
    <xf numFmtId="0" fontId="0" fillId="0" borderId="13" xfId="0" applyBorder="1"/>
    <xf numFmtId="0" fontId="9" fillId="0" borderId="7" xfId="0" applyFont="1" applyBorder="1" applyAlignment="1" applyProtection="1">
      <alignment vertical="center" wrapText="1"/>
      <protection locked="0"/>
    </xf>
    <xf numFmtId="0" fontId="0" fillId="0" borderId="7" xfId="0" applyBorder="1" applyAlignment="1">
      <alignment vertical="center" wrapText="1"/>
    </xf>
    <xf numFmtId="9" fontId="9" fillId="0" borderId="7" xfId="2" applyFont="1" applyFill="1" applyBorder="1" applyAlignment="1" applyProtection="1">
      <alignment horizontal="left" vertical="center" wrapText="1"/>
      <protection locked="0"/>
    </xf>
    <xf numFmtId="0" fontId="0" fillId="0" borderId="0" xfId="0" applyAlignment="1">
      <alignment horizontal="center"/>
    </xf>
    <xf numFmtId="9" fontId="9" fillId="0" borderId="7" xfId="2" applyFont="1" applyFill="1" applyBorder="1" applyAlignment="1" applyProtection="1">
      <alignment horizontal="center" vertical="center" wrapText="1"/>
    </xf>
    <xf numFmtId="1" fontId="9" fillId="0" borderId="7" xfId="1" applyNumberFormat="1" applyFont="1" applyFill="1" applyBorder="1" applyAlignment="1" applyProtection="1">
      <alignment horizontal="center" vertical="center"/>
    </xf>
    <xf numFmtId="9" fontId="31" fillId="0" borderId="7" xfId="0" applyNumberFormat="1" applyFont="1" applyFill="1" applyBorder="1"/>
    <xf numFmtId="0" fontId="26" fillId="13" borderId="7" xfId="0" applyNumberFormat="1" applyFont="1" applyFill="1" applyBorder="1" applyAlignment="1">
      <alignment horizontal="center"/>
    </xf>
    <xf numFmtId="0" fontId="8" fillId="0" borderId="7" xfId="2" applyNumberFormat="1" applyFont="1" applyFill="1" applyBorder="1" applyAlignment="1" applyProtection="1">
      <alignment horizontal="center" vertical="center" wrapText="1"/>
    </xf>
    <xf numFmtId="0" fontId="8" fillId="0" borderId="7" xfId="2" applyNumberFormat="1" applyFont="1" applyFill="1" applyBorder="1" applyAlignment="1" applyProtection="1">
      <alignment horizontal="center" vertical="center" wrapText="1"/>
      <protection locked="0"/>
    </xf>
    <xf numFmtId="0" fontId="26" fillId="13" borderId="3" xfId="0" applyFont="1" applyFill="1" applyBorder="1"/>
    <xf numFmtId="0" fontId="0" fillId="0" borderId="0" xfId="0" applyAlignment="1">
      <alignment horizontal="center"/>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9" fontId="9" fillId="0" borderId="7" xfId="2" applyNumberFormat="1" applyFont="1" applyFill="1" applyBorder="1" applyAlignment="1" applyProtection="1">
      <alignment horizontal="center" vertical="center"/>
    </xf>
    <xf numFmtId="9" fontId="37" fillId="12" borderId="33" xfId="0" applyNumberFormat="1" applyFont="1" applyFill="1" applyBorder="1"/>
    <xf numFmtId="0" fontId="0" fillId="0" borderId="0" xfId="0" applyAlignment="1">
      <alignment horizontal="center"/>
    </xf>
    <xf numFmtId="0" fontId="16" fillId="2" borderId="7" xfId="0" applyFont="1" applyFill="1" applyBorder="1" applyAlignment="1" applyProtection="1">
      <alignment horizontal="center" vertical="center"/>
      <protection locked="0"/>
    </xf>
    <xf numFmtId="0" fontId="8" fillId="0" borderId="7" xfId="0" applyFont="1" applyBorder="1" applyAlignment="1">
      <alignment horizontal="center" vertical="center" wrapText="1"/>
    </xf>
    <xf numFmtId="167" fontId="16" fillId="2" borderId="11" xfId="1" applyNumberFormat="1" applyFont="1" applyFill="1" applyBorder="1" applyAlignment="1" applyProtection="1">
      <alignment horizontal="center" vertical="center"/>
      <protection locked="0"/>
    </xf>
    <xf numFmtId="0" fontId="6" fillId="2" borderId="35" xfId="3" applyFont="1" applyFill="1" applyBorder="1" applyAlignment="1" applyProtection="1">
      <alignment horizontal="center" vertical="center" wrapText="1"/>
      <protection locked="0"/>
    </xf>
    <xf numFmtId="9" fontId="6" fillId="2" borderId="4" xfId="2" applyFont="1" applyFill="1" applyBorder="1" applyAlignment="1" applyProtection="1">
      <alignment horizontal="center" vertical="center" wrapText="1"/>
      <protection locked="0"/>
    </xf>
    <xf numFmtId="9" fontId="8" fillId="0" borderId="4" xfId="2" applyFont="1" applyFill="1" applyBorder="1" applyAlignment="1" applyProtection="1">
      <alignment horizontal="center" vertical="center" wrapText="1"/>
      <protection locked="0"/>
    </xf>
    <xf numFmtId="9" fontId="8" fillId="0" borderId="24" xfId="2" applyFont="1" applyFill="1" applyBorder="1" applyAlignment="1" applyProtection="1">
      <alignment horizontal="center" vertical="center"/>
      <protection locked="0"/>
    </xf>
    <xf numFmtId="167" fontId="9" fillId="0" borderId="40" xfId="1" applyNumberFormat="1" applyFont="1" applyBorder="1" applyAlignment="1" applyProtection="1">
      <alignment wrapText="1"/>
      <protection locked="0"/>
    </xf>
    <xf numFmtId="167" fontId="9" fillId="0" borderId="38" xfId="1" applyNumberFormat="1" applyFont="1" applyBorder="1" applyAlignment="1" applyProtection="1">
      <alignment wrapText="1"/>
      <protection locked="0"/>
    </xf>
    <xf numFmtId="167" fontId="16" fillId="0" borderId="42" xfId="1" applyNumberFormat="1" applyFont="1" applyFill="1" applyBorder="1" applyAlignment="1" applyProtection="1">
      <alignment horizontal="center" vertical="center"/>
      <protection locked="0"/>
    </xf>
    <xf numFmtId="9" fontId="16" fillId="2" borderId="31" xfId="2" applyFont="1" applyFill="1" applyBorder="1" applyAlignment="1" applyProtection="1">
      <alignment horizontal="center" vertical="center"/>
      <protection locked="0"/>
    </xf>
    <xf numFmtId="167" fontId="9" fillId="0" borderId="21" xfId="1" applyNumberFormat="1" applyFont="1" applyBorder="1" applyAlignment="1" applyProtection="1">
      <alignment horizontal="center" vertical="center"/>
      <protection locked="0"/>
    </xf>
    <xf numFmtId="167" fontId="9" fillId="0" borderId="22" xfId="1" applyNumberFormat="1" applyFont="1" applyBorder="1" applyProtection="1">
      <protection locked="0"/>
    </xf>
    <xf numFmtId="167" fontId="8" fillId="0" borderId="4" xfId="1" applyNumberFormat="1"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9" fillId="0" borderId="13" xfId="0" applyFont="1" applyBorder="1" applyAlignment="1" applyProtection="1">
      <alignment vertical="center"/>
      <protection locked="0"/>
    </xf>
    <xf numFmtId="0" fontId="9" fillId="0" borderId="13" xfId="0" applyFont="1" applyFill="1" applyBorder="1" applyProtection="1">
      <protection locked="0"/>
    </xf>
    <xf numFmtId="9" fontId="6" fillId="4" borderId="4" xfId="2" applyFont="1" applyFill="1" applyBorder="1" applyAlignment="1" applyProtection="1">
      <alignment horizontal="center" vertical="center" wrapText="1"/>
      <protection locked="0"/>
    </xf>
    <xf numFmtId="9" fontId="6" fillId="4" borderId="24" xfId="2" applyFont="1" applyFill="1" applyBorder="1" applyAlignment="1" applyProtection="1">
      <alignment horizontal="center" vertical="center" wrapText="1"/>
      <protection locked="0"/>
    </xf>
    <xf numFmtId="9" fontId="9" fillId="7" borderId="4" xfId="2" applyFont="1" applyFill="1" applyBorder="1" applyAlignment="1" applyProtection="1">
      <alignment horizontal="center" vertical="center"/>
    </xf>
    <xf numFmtId="9" fontId="9" fillId="7" borderId="24" xfId="2" applyFont="1" applyFill="1" applyBorder="1" applyAlignment="1" applyProtection="1">
      <alignment horizontal="center" vertical="center"/>
    </xf>
    <xf numFmtId="0" fontId="9" fillId="0" borderId="10" xfId="0" applyFont="1" applyBorder="1" applyAlignment="1" applyProtection="1">
      <alignment wrapText="1"/>
      <protection locked="0"/>
    </xf>
    <xf numFmtId="0" fontId="6" fillId="0" borderId="4" xfId="0" applyFont="1" applyFill="1" applyBorder="1" applyAlignment="1" applyProtection="1">
      <alignment horizontal="center" vertical="center" wrapText="1"/>
      <protection locked="0"/>
    </xf>
    <xf numFmtId="0" fontId="6" fillId="0" borderId="24" xfId="0" applyFont="1" applyFill="1" applyBorder="1" applyAlignment="1" applyProtection="1">
      <alignment horizontal="center" vertical="center" wrapText="1"/>
      <protection locked="0"/>
    </xf>
    <xf numFmtId="0" fontId="9" fillId="0" borderId="4" xfId="0" applyFont="1" applyBorder="1" applyAlignment="1" applyProtection="1">
      <alignment vertical="center"/>
      <protection locked="0"/>
    </xf>
    <xf numFmtId="0" fontId="9" fillId="0" borderId="24" xfId="0" applyFont="1" applyFill="1" applyBorder="1" applyAlignment="1" applyProtection="1">
      <alignment horizontal="justify" vertical="center"/>
      <protection locked="0"/>
    </xf>
    <xf numFmtId="0" fontId="9" fillId="0" borderId="4" xfId="0" applyFont="1" applyBorder="1" applyProtection="1">
      <protection locked="0"/>
    </xf>
    <xf numFmtId="0" fontId="9" fillId="0" borderId="24" xfId="0" applyFont="1" applyFill="1" applyBorder="1" applyAlignment="1" applyProtection="1">
      <alignment horizontal="justify" vertical="top"/>
      <protection locked="0"/>
    </xf>
    <xf numFmtId="0" fontId="9" fillId="0" borderId="8" xfId="0" applyFont="1" applyFill="1" applyBorder="1" applyProtection="1">
      <protection locked="0"/>
    </xf>
    <xf numFmtId="0" fontId="15" fillId="0" borderId="40" xfId="0" applyFont="1" applyFill="1" applyBorder="1" applyAlignment="1" applyProtection="1">
      <alignment horizontal="justify" vertical="top"/>
      <protection locked="0"/>
    </xf>
    <xf numFmtId="0" fontId="9" fillId="0" borderId="40" xfId="0" applyFont="1" applyFill="1" applyBorder="1" applyAlignment="1" applyProtection="1">
      <alignment horizontal="justify" vertical="top"/>
      <protection locked="0"/>
    </xf>
    <xf numFmtId="0" fontId="9" fillId="0" borderId="41" xfId="0" applyFont="1" applyFill="1" applyBorder="1" applyProtection="1">
      <protection locked="0"/>
    </xf>
    <xf numFmtId="167" fontId="9" fillId="0" borderId="20" xfId="1" applyNumberFormat="1" applyFont="1" applyBorder="1" applyAlignment="1" applyProtection="1">
      <alignment horizontal="center" vertical="center"/>
      <protection locked="0"/>
    </xf>
    <xf numFmtId="9" fontId="16" fillId="0" borderId="42" xfId="2" applyFont="1" applyFill="1" applyBorder="1" applyAlignment="1" applyProtection="1">
      <alignment horizontal="center" vertical="center"/>
      <protection locked="0"/>
    </xf>
    <xf numFmtId="9" fontId="16" fillId="0" borderId="31" xfId="2" applyFont="1" applyFill="1" applyBorder="1" applyAlignment="1" applyProtection="1">
      <alignment horizontal="center" vertical="center"/>
      <protection locked="0"/>
    </xf>
    <xf numFmtId="0" fontId="9" fillId="0" borderId="20" xfId="0" applyFont="1" applyBorder="1" applyProtection="1">
      <protection locked="0"/>
    </xf>
    <xf numFmtId="0" fontId="9" fillId="0" borderId="21" xfId="0" applyFont="1" applyBorder="1" applyProtection="1">
      <protection locked="0"/>
    </xf>
    <xf numFmtId="0" fontId="9" fillId="0" borderId="22" xfId="0" applyFont="1" applyBorder="1" applyProtection="1">
      <protection locked="0"/>
    </xf>
    <xf numFmtId="167" fontId="8" fillId="0" borderId="24" xfId="1" applyNumberFormat="1" applyFont="1" applyFill="1" applyBorder="1" applyAlignment="1" applyProtection="1">
      <alignment horizontal="center" vertical="center"/>
      <protection locked="0"/>
    </xf>
    <xf numFmtId="0" fontId="8" fillId="0" borderId="14" xfId="0" applyFont="1" applyBorder="1" applyAlignment="1">
      <alignment horizontal="center" vertical="center" wrapText="1"/>
    </xf>
    <xf numFmtId="9" fontId="6" fillId="2" borderId="35" xfId="2" applyFont="1" applyFill="1" applyBorder="1" applyAlignment="1" applyProtection="1">
      <alignment horizontal="center" vertical="center" wrapText="1"/>
      <protection locked="0"/>
    </xf>
    <xf numFmtId="167" fontId="0" fillId="0" borderId="42" xfId="0" applyNumberFormat="1" applyBorder="1"/>
    <xf numFmtId="0" fontId="0" fillId="0" borderId="20" xfId="0" applyBorder="1"/>
    <xf numFmtId="0" fontId="0" fillId="0" borderId="22" xfId="0" applyBorder="1"/>
    <xf numFmtId="0" fontId="0" fillId="0" borderId="21" xfId="0" applyBorder="1"/>
    <xf numFmtId="167" fontId="16" fillId="2" borderId="31" xfId="1" applyNumberFormat="1" applyFont="1" applyFill="1" applyBorder="1" applyAlignment="1" applyProtection="1">
      <alignment horizontal="center" vertical="center"/>
      <protection locked="0"/>
    </xf>
    <xf numFmtId="0" fontId="8" fillId="0" borderId="24" xfId="0" applyFont="1" applyBorder="1" applyAlignment="1">
      <alignment horizontal="center" vertical="center" wrapText="1"/>
    </xf>
    <xf numFmtId="9" fontId="6" fillId="2" borderId="1" xfId="2" applyFont="1" applyFill="1" applyBorder="1" applyAlignment="1" applyProtection="1">
      <alignment horizontal="center" vertical="center" wrapText="1"/>
      <protection locked="0"/>
    </xf>
    <xf numFmtId="9" fontId="8" fillId="0" borderId="24" xfId="0" applyNumberFormat="1" applyFont="1" applyBorder="1" applyAlignment="1">
      <alignment horizontal="center" vertical="center" wrapText="1"/>
    </xf>
    <xf numFmtId="0" fontId="9" fillId="0" borderId="40" xfId="0" applyFont="1" applyBorder="1" applyAlignment="1" applyProtection="1">
      <alignment wrapText="1"/>
      <protection locked="0"/>
    </xf>
    <xf numFmtId="0" fontId="9" fillId="0" borderId="38" xfId="0" applyFont="1" applyBorder="1" applyAlignment="1" applyProtection="1">
      <alignment wrapText="1"/>
      <protection locked="0"/>
    </xf>
    <xf numFmtId="9" fontId="0" fillId="0" borderId="42" xfId="0" applyNumberFormat="1" applyBorder="1"/>
    <xf numFmtId="0" fontId="9" fillId="0" borderId="8" xfId="0" applyFont="1" applyBorder="1" applyAlignment="1" applyProtection="1">
      <alignment wrapText="1"/>
      <protection locked="0"/>
    </xf>
    <xf numFmtId="167" fontId="8" fillId="0" borderId="24" xfId="1" applyNumberFormat="1" applyFont="1" applyFill="1" applyBorder="1" applyAlignment="1" applyProtection="1">
      <alignment horizontal="center" vertical="center" wrapText="1"/>
    </xf>
    <xf numFmtId="0" fontId="0" fillId="0" borderId="42" xfId="0" applyBorder="1"/>
    <xf numFmtId="0" fontId="16" fillId="2" borderId="11" xfId="0" applyFont="1" applyFill="1" applyBorder="1" applyAlignment="1" applyProtection="1">
      <alignment horizontal="center" vertical="center"/>
      <protection locked="0"/>
    </xf>
    <xf numFmtId="0" fontId="9" fillId="0" borderId="24" xfId="0" applyFont="1" applyFill="1" applyBorder="1" applyProtection="1">
      <protection locked="0"/>
    </xf>
    <xf numFmtId="0" fontId="6" fillId="2" borderId="36" xfId="3" applyFont="1" applyFill="1" applyBorder="1" applyAlignment="1" applyProtection="1">
      <alignment horizontal="center" vertical="center" wrapText="1"/>
      <protection locked="0"/>
    </xf>
    <xf numFmtId="9" fontId="9" fillId="0" borderId="20" xfId="2" applyFont="1" applyBorder="1" applyAlignment="1" applyProtection="1">
      <alignment horizontal="center" vertical="center"/>
      <protection locked="0"/>
    </xf>
    <xf numFmtId="9" fontId="8" fillId="0" borderId="4" xfId="2" applyFont="1" applyFill="1" applyBorder="1" applyAlignment="1" applyProtection="1">
      <alignment horizontal="center" vertical="center"/>
      <protection locked="0"/>
    </xf>
    <xf numFmtId="9" fontId="9" fillId="0" borderId="21" xfId="2" applyFont="1" applyBorder="1" applyAlignment="1" applyProtection="1">
      <alignment horizontal="center" vertical="center"/>
      <protection locked="0"/>
    </xf>
    <xf numFmtId="0" fontId="8" fillId="0" borderId="14" xfId="0" applyFont="1" applyBorder="1" applyAlignment="1">
      <alignment horizontal="center" vertical="center"/>
    </xf>
    <xf numFmtId="9" fontId="8" fillId="0" borderId="14" xfId="2" applyFont="1" applyFill="1" applyBorder="1" applyAlignment="1">
      <alignment horizontal="center" vertical="center"/>
    </xf>
    <xf numFmtId="0" fontId="8" fillId="0" borderId="0" xfId="0" applyFont="1" applyBorder="1" applyAlignment="1">
      <alignment horizontal="center" vertical="center" wrapText="1"/>
    </xf>
    <xf numFmtId="9" fontId="8" fillId="0" borderId="14" xfId="2" applyFont="1" applyBorder="1" applyAlignment="1">
      <alignment horizontal="center" vertical="center"/>
    </xf>
    <xf numFmtId="0" fontId="6" fillId="2" borderId="37" xfId="3" applyFont="1" applyFill="1" applyBorder="1" applyAlignment="1" applyProtection="1">
      <alignment horizontal="center" vertical="center" wrapText="1"/>
      <protection locked="0"/>
    </xf>
    <xf numFmtId="0" fontId="0" fillId="0" borderId="11" xfId="0" applyBorder="1"/>
    <xf numFmtId="0" fontId="9" fillId="0" borderId="21" xfId="0" applyFont="1" applyBorder="1" applyAlignment="1" applyProtection="1">
      <alignment wrapText="1"/>
      <protection locked="0"/>
    </xf>
    <xf numFmtId="0" fontId="9" fillId="0" borderId="38" xfId="0" applyFont="1" applyFill="1" applyBorder="1" applyAlignment="1" applyProtection="1">
      <alignment wrapText="1"/>
      <protection locked="0"/>
    </xf>
    <xf numFmtId="9" fontId="9" fillId="0" borderId="20" xfId="2" applyFont="1" applyFill="1" applyBorder="1" applyAlignment="1" applyProtection="1">
      <alignment horizontal="center" vertical="center"/>
      <protection locked="0"/>
    </xf>
    <xf numFmtId="0" fontId="9" fillId="0" borderId="21" xfId="0" applyFont="1" applyFill="1" applyBorder="1" applyProtection="1">
      <protection locked="0"/>
    </xf>
    <xf numFmtId="0" fontId="9" fillId="0" borderId="8" xfId="0" applyFont="1" applyFill="1" applyBorder="1" applyAlignment="1" applyProtection="1">
      <alignment wrapText="1"/>
      <protection locked="0"/>
    </xf>
    <xf numFmtId="9" fontId="6" fillId="0" borderId="4" xfId="2" applyFont="1" applyFill="1" applyBorder="1" applyAlignment="1" applyProtection="1">
      <alignment horizontal="center" vertical="center" wrapText="1"/>
      <protection locked="0"/>
    </xf>
    <xf numFmtId="9" fontId="6" fillId="0" borderId="24" xfId="2" applyFont="1" applyFill="1" applyBorder="1" applyAlignment="1" applyProtection="1">
      <alignment horizontal="center" vertical="center" wrapText="1"/>
      <protection locked="0"/>
    </xf>
    <xf numFmtId="0" fontId="9" fillId="0" borderId="10" xfId="0" applyFont="1" applyFill="1" applyBorder="1" applyAlignment="1" applyProtection="1">
      <alignment wrapText="1"/>
      <protection locked="0"/>
    </xf>
    <xf numFmtId="0" fontId="9" fillId="0" borderId="20" xfId="0" applyFont="1" applyFill="1" applyBorder="1" applyProtection="1">
      <protection locked="0"/>
    </xf>
    <xf numFmtId="0" fontId="9" fillId="0" borderId="22" xfId="0" applyFont="1" applyFill="1" applyBorder="1" applyProtection="1">
      <protection locked="0"/>
    </xf>
    <xf numFmtId="9" fontId="6" fillId="2" borderId="24" xfId="2" applyFont="1" applyFill="1" applyBorder="1" applyAlignment="1" applyProtection="1">
      <alignment horizontal="center" vertical="center" wrapText="1"/>
      <protection locked="0"/>
    </xf>
    <xf numFmtId="0" fontId="8" fillId="0" borderId="24" xfId="3" applyFont="1" applyFill="1" applyBorder="1" applyAlignment="1" applyProtection="1">
      <alignment vertical="center" wrapText="1"/>
      <protection locked="0"/>
    </xf>
    <xf numFmtId="9" fontId="8" fillId="0" borderId="24" xfId="2" applyFont="1" applyFill="1" applyBorder="1" applyAlignment="1" applyProtection="1">
      <alignment horizontal="center" vertical="center" wrapText="1"/>
    </xf>
    <xf numFmtId="0" fontId="0" fillId="0" borderId="21" xfId="0" applyBorder="1" applyAlignment="1">
      <alignment horizontal="center"/>
    </xf>
    <xf numFmtId="9" fontId="16" fillId="2" borderId="11" xfId="2" applyFont="1" applyFill="1" applyBorder="1" applyAlignment="1" applyProtection="1">
      <alignment horizontal="center" vertical="center"/>
      <protection locked="0"/>
    </xf>
    <xf numFmtId="0" fontId="9" fillId="0" borderId="22" xfId="0" applyFont="1" applyBorder="1" applyAlignment="1" applyProtection="1">
      <alignment wrapText="1"/>
      <protection locked="0"/>
    </xf>
    <xf numFmtId="9" fontId="35" fillId="2" borderId="35" xfId="2" applyFont="1" applyFill="1" applyBorder="1" applyAlignment="1" applyProtection="1">
      <alignment horizontal="center" vertical="center" wrapText="1"/>
      <protection locked="0"/>
    </xf>
    <xf numFmtId="0" fontId="35" fillId="2" borderId="36" xfId="3" applyFont="1" applyFill="1" applyBorder="1" applyAlignment="1" applyProtection="1">
      <alignment horizontal="center" vertical="center" wrapText="1"/>
      <protection locked="0"/>
    </xf>
    <xf numFmtId="0" fontId="8" fillId="0" borderId="24" xfId="5" applyFont="1" applyBorder="1" applyAlignment="1">
      <alignment horizontal="center" vertical="center" wrapText="1"/>
    </xf>
    <xf numFmtId="164" fontId="16" fillId="2" borderId="13" xfId="1" applyFont="1" applyFill="1" applyBorder="1" applyAlignment="1" applyProtection="1">
      <alignment horizontal="center" vertical="center"/>
      <protection locked="0"/>
    </xf>
    <xf numFmtId="164" fontId="16" fillId="0" borderId="42" xfId="1" applyFont="1" applyFill="1" applyBorder="1" applyAlignment="1" applyProtection="1">
      <alignment horizontal="center" vertical="center"/>
      <protection locked="0"/>
    </xf>
    <xf numFmtId="164" fontId="16" fillId="2" borderId="31" xfId="1" applyFont="1" applyFill="1" applyBorder="1" applyAlignment="1" applyProtection="1">
      <alignment horizontal="center" vertical="center"/>
      <protection locked="0"/>
    </xf>
    <xf numFmtId="164" fontId="8" fillId="0" borderId="4" xfId="1" applyNumberFormat="1" applyFont="1" applyFill="1" applyBorder="1" applyAlignment="1" applyProtection="1">
      <alignment horizontal="center" vertical="center" wrapText="1"/>
    </xf>
    <xf numFmtId="164" fontId="8" fillId="0" borderId="24" xfId="1" applyNumberFormat="1" applyFont="1" applyFill="1" applyBorder="1" applyAlignment="1" applyProtection="1">
      <alignment horizontal="center" vertical="center"/>
      <protection locked="0"/>
    </xf>
    <xf numFmtId="9" fontId="8" fillId="2" borderId="7" xfId="2" applyFont="1" applyFill="1" applyBorder="1" applyAlignment="1" applyProtection="1">
      <alignment horizontal="center" vertical="center" wrapText="1"/>
      <protection locked="0"/>
    </xf>
    <xf numFmtId="0" fontId="0" fillId="0" borderId="0" xfId="0" applyAlignment="1">
      <alignment horizontal="center"/>
    </xf>
    <xf numFmtId="0" fontId="0" fillId="0" borderId="0" xfId="0" applyAlignment="1">
      <alignment horizontal="center"/>
    </xf>
    <xf numFmtId="9" fontId="6" fillId="2" borderId="13" xfId="2" applyFont="1" applyFill="1" applyBorder="1" applyAlignment="1" applyProtection="1">
      <alignment horizontal="center" vertical="center" wrapText="1"/>
      <protection locked="0"/>
    </xf>
    <xf numFmtId="9" fontId="8" fillId="0" borderId="13" xfId="2" applyFont="1" applyFill="1" applyBorder="1" applyAlignment="1" applyProtection="1">
      <alignment horizontal="center" vertical="center" wrapText="1"/>
      <protection locked="0"/>
    </xf>
    <xf numFmtId="167" fontId="9" fillId="0" borderId="22" xfId="1" applyNumberFormat="1" applyFont="1" applyBorder="1" applyAlignment="1" applyProtection="1">
      <alignment horizontal="center" vertical="center"/>
      <protection locked="0"/>
    </xf>
    <xf numFmtId="167" fontId="16" fillId="0" borderId="31" xfId="1" applyNumberFormat="1" applyFont="1" applyFill="1" applyBorder="1" applyAlignment="1" applyProtection="1">
      <alignment horizontal="center" vertical="center"/>
      <protection locked="0"/>
    </xf>
    <xf numFmtId="9" fontId="8" fillId="0" borderId="48" xfId="2" applyFont="1" applyFill="1" applyBorder="1" applyAlignment="1" applyProtection="1">
      <alignment horizontal="center" vertical="center"/>
      <protection locked="0"/>
    </xf>
    <xf numFmtId="167" fontId="16" fillId="0" borderId="20" xfId="1" applyNumberFormat="1" applyFont="1" applyFill="1" applyBorder="1" applyAlignment="1" applyProtection="1">
      <alignment horizontal="center" vertical="center"/>
      <protection locked="0"/>
    </xf>
    <xf numFmtId="9" fontId="8" fillId="2" borderId="11" xfId="2" applyFont="1" applyFill="1" applyBorder="1" applyAlignment="1" applyProtection="1">
      <alignment horizontal="center" vertical="center" wrapText="1"/>
      <protection locked="0"/>
    </xf>
    <xf numFmtId="9" fontId="9" fillId="0" borderId="14" xfId="2" applyFont="1" applyFill="1" applyBorder="1" applyAlignment="1" applyProtection="1">
      <alignment horizontal="center" vertical="center"/>
    </xf>
    <xf numFmtId="9" fontId="9" fillId="0" borderId="14" xfId="2" applyFont="1" applyFill="1" applyBorder="1" applyAlignment="1" applyProtection="1">
      <alignment horizontal="center" vertical="center" wrapText="1"/>
    </xf>
    <xf numFmtId="9" fontId="15" fillId="0" borderId="7" xfId="2" applyFont="1" applyFill="1" applyBorder="1" applyAlignment="1" applyProtection="1">
      <alignment horizontal="center" vertical="center" wrapText="1"/>
    </xf>
    <xf numFmtId="0" fontId="0" fillId="0" borderId="0" xfId="0" applyAlignment="1">
      <alignment horizontal="center"/>
    </xf>
    <xf numFmtId="0" fontId="6" fillId="2" borderId="36" xfId="3" applyFont="1" applyFill="1" applyBorder="1" applyAlignment="1" applyProtection="1">
      <alignment horizontal="center" vertical="center" wrapText="1"/>
      <protection locked="0"/>
    </xf>
    <xf numFmtId="0" fontId="18" fillId="0" borderId="7" xfId="0" applyFont="1" applyBorder="1" applyAlignment="1">
      <alignment vertical="center" textRotation="90" wrapText="1"/>
    </xf>
    <xf numFmtId="0" fontId="18" fillId="0" borderId="7" xfId="0" applyFont="1" applyBorder="1" applyAlignment="1">
      <alignment textRotation="90" wrapText="1"/>
    </xf>
    <xf numFmtId="0" fontId="18" fillId="0" borderId="7" xfId="0" applyFont="1" applyBorder="1" applyAlignment="1">
      <alignment textRotation="90"/>
    </xf>
    <xf numFmtId="9" fontId="8" fillId="0" borderId="7" xfId="2" applyFont="1" applyFill="1" applyBorder="1" applyAlignment="1" applyProtection="1">
      <alignment vertical="center"/>
    </xf>
    <xf numFmtId="9" fontId="8" fillId="0" borderId="14" xfId="0" applyNumberFormat="1" applyFont="1" applyBorder="1" applyAlignment="1">
      <alignment horizontal="center" vertical="center" wrapText="1"/>
    </xf>
    <xf numFmtId="0" fontId="6" fillId="2" borderId="57" xfId="3" applyFont="1" applyFill="1" applyBorder="1" applyAlignment="1" applyProtection="1">
      <alignment horizontal="center" vertical="center" wrapText="1"/>
      <protection locked="0"/>
    </xf>
    <xf numFmtId="9" fontId="16" fillId="0" borderId="4" xfId="2" applyFont="1" applyFill="1" applyBorder="1" applyAlignment="1" applyProtection="1">
      <alignment horizontal="center" vertical="center"/>
      <protection locked="0"/>
    </xf>
    <xf numFmtId="9" fontId="9" fillId="0" borderId="28" xfId="2" applyFont="1" applyBorder="1" applyAlignment="1" applyProtection="1">
      <alignment horizontal="center" vertical="center"/>
      <protection locked="0"/>
    </xf>
    <xf numFmtId="0" fontId="9" fillId="0" borderId="10" xfId="0" applyFont="1" applyBorder="1" applyProtection="1">
      <protection locked="0"/>
    </xf>
    <xf numFmtId="0" fontId="0" fillId="0" borderId="10" xfId="0" applyBorder="1"/>
    <xf numFmtId="0" fontId="14" fillId="0" borderId="16" xfId="3" applyFont="1" applyBorder="1" applyAlignment="1">
      <alignment horizontal="center" vertical="center" wrapText="1"/>
    </xf>
    <xf numFmtId="0" fontId="6" fillId="0" borderId="50" xfId="3" applyFont="1" applyBorder="1" applyAlignment="1">
      <alignment vertical="center" wrapText="1"/>
    </xf>
    <xf numFmtId="0" fontId="9" fillId="0" borderId="16" xfId="3" applyFont="1" applyBorder="1" applyAlignment="1">
      <alignment horizontal="center" vertical="center" wrapText="1"/>
    </xf>
    <xf numFmtId="0" fontId="8" fillId="0" borderId="45" xfId="0" applyFont="1" applyBorder="1" applyAlignment="1">
      <alignment horizontal="center" vertical="center" wrapText="1"/>
    </xf>
    <xf numFmtId="9" fontId="8" fillId="0" borderId="42" xfId="2" applyFont="1" applyFill="1" applyBorder="1" applyAlignment="1" applyProtection="1">
      <alignment horizontal="center" vertical="center" wrapText="1"/>
      <protection locked="0"/>
    </xf>
    <xf numFmtId="9" fontId="8" fillId="0" borderId="31" xfId="2" applyFont="1" applyFill="1" applyBorder="1" applyAlignment="1" applyProtection="1">
      <alignment horizontal="center" vertical="center" wrapText="1"/>
      <protection locked="0"/>
    </xf>
    <xf numFmtId="9" fontId="8" fillId="0" borderId="31" xfId="2" applyFont="1" applyFill="1" applyBorder="1" applyAlignment="1" applyProtection="1">
      <alignment horizontal="center" vertical="center"/>
    </xf>
    <xf numFmtId="0" fontId="9" fillId="0" borderId="42" xfId="0" applyFont="1" applyBorder="1" applyProtection="1">
      <protection locked="0"/>
    </xf>
    <xf numFmtId="0" fontId="8" fillId="0" borderId="11" xfId="0" applyFont="1" applyFill="1" applyBorder="1" applyAlignment="1" applyProtection="1">
      <alignment horizontal="justify" vertical="top"/>
      <protection locked="0"/>
    </xf>
    <xf numFmtId="0" fontId="9" fillId="0" borderId="11" xfId="0" applyFont="1" applyFill="1" applyBorder="1" applyAlignment="1" applyProtection="1">
      <alignment horizontal="justify" vertical="top"/>
      <protection locked="0"/>
    </xf>
    <xf numFmtId="0" fontId="9" fillId="0" borderId="45" xfId="0" applyFont="1" applyFill="1" applyBorder="1" applyProtection="1">
      <protection locked="0"/>
    </xf>
    <xf numFmtId="0" fontId="8" fillId="15" borderId="7" xfId="3" applyFont="1" applyFill="1" applyBorder="1" applyAlignment="1" applyProtection="1">
      <alignment horizontal="center" vertical="center" wrapText="1"/>
      <protection locked="0"/>
    </xf>
    <xf numFmtId="0" fontId="6" fillId="2" borderId="36" xfId="3" applyFont="1" applyFill="1" applyBorder="1" applyAlignment="1" applyProtection="1">
      <alignment horizontal="center" vertical="center" wrapText="1"/>
      <protection locked="0"/>
    </xf>
    <xf numFmtId="0" fontId="14" fillId="0" borderId="11" xfId="3" applyFont="1" applyBorder="1" applyAlignment="1">
      <alignment horizontal="center" vertical="center" wrapText="1"/>
    </xf>
    <xf numFmtId="0" fontId="14" fillId="0" borderId="42" xfId="3" applyFont="1" applyBorder="1" applyAlignment="1">
      <alignment horizontal="center" vertical="center" wrapText="1"/>
    </xf>
    <xf numFmtId="0" fontId="8" fillId="0" borderId="45" xfId="3" applyFont="1" applyFill="1" applyBorder="1" applyAlignment="1" applyProtection="1">
      <alignment horizontal="center" vertical="center" wrapText="1"/>
      <protection locked="0"/>
    </xf>
    <xf numFmtId="9" fontId="14" fillId="0" borderId="11" xfId="2" applyFont="1" applyBorder="1" applyAlignment="1">
      <alignment horizontal="center" vertical="center" wrapText="1"/>
    </xf>
    <xf numFmtId="9" fontId="0" fillId="0" borderId="0" xfId="2" applyFont="1"/>
    <xf numFmtId="9" fontId="8" fillId="0" borderId="48" xfId="2" applyFont="1" applyFill="1" applyBorder="1" applyAlignment="1" applyProtection="1">
      <alignment horizontal="center" vertical="center" wrapText="1"/>
      <protection locked="0"/>
    </xf>
    <xf numFmtId="10" fontId="9" fillId="0" borderId="0" xfId="2" applyNumberFormat="1" applyFont="1" applyAlignment="1" applyProtection="1">
      <alignment horizontal="center" vertical="center"/>
      <protection locked="0"/>
    </xf>
    <xf numFmtId="9" fontId="0" fillId="0" borderId="7" xfId="2" applyFont="1" applyBorder="1" applyAlignment="1">
      <alignment horizontal="center" vertical="center" wrapText="1"/>
    </xf>
    <xf numFmtId="0" fontId="0" fillId="0" borderId="7" xfId="0" applyBorder="1" applyAlignment="1">
      <alignment horizontal="center" wrapText="1"/>
    </xf>
    <xf numFmtId="0" fontId="0" fillId="0" borderId="7" xfId="0" applyBorder="1" applyAlignment="1">
      <alignment horizontal="center" vertical="center" wrapText="1"/>
    </xf>
    <xf numFmtId="165" fontId="9" fillId="0" borderId="7" xfId="2" applyNumberFormat="1" applyFont="1" applyBorder="1" applyAlignment="1" applyProtection="1">
      <alignment horizontal="center" vertical="center"/>
      <protection locked="0"/>
    </xf>
    <xf numFmtId="9" fontId="0" fillId="0" borderId="7" xfId="2" applyFont="1" applyBorder="1" applyAlignment="1">
      <alignment horizontal="center"/>
    </xf>
    <xf numFmtId="0" fontId="9" fillId="0" borderId="0" xfId="0" applyFont="1"/>
    <xf numFmtId="0" fontId="9" fillId="0" borderId="0" xfId="0" applyFont="1" applyAlignment="1">
      <alignment horizontal="center" wrapText="1"/>
    </xf>
    <xf numFmtId="0" fontId="9" fillId="0" borderId="13" xfId="0" applyFont="1" applyBorder="1" applyAlignment="1">
      <alignment wrapText="1"/>
    </xf>
    <xf numFmtId="0" fontId="9" fillId="0" borderId="7" xfId="0" applyFont="1" applyBorder="1" applyAlignment="1">
      <alignment wrapText="1"/>
    </xf>
    <xf numFmtId="0" fontId="9" fillId="0" borderId="0" xfId="0" applyFont="1" applyAlignment="1">
      <alignment wrapText="1"/>
    </xf>
    <xf numFmtId="0" fontId="9" fillId="0" borderId="7" xfId="3" applyFont="1" applyFill="1" applyBorder="1" applyAlignment="1" applyProtection="1">
      <alignment vertical="center" wrapText="1"/>
      <protection locked="0"/>
    </xf>
    <xf numFmtId="9" fontId="9" fillId="0" borderId="7" xfId="2" applyFont="1" applyFill="1" applyBorder="1" applyAlignment="1" applyProtection="1">
      <alignment vertical="center" wrapText="1"/>
      <protection locked="0"/>
    </xf>
    <xf numFmtId="0" fontId="9" fillId="0" borderId="14" xfId="3" applyFont="1" applyFill="1" applyBorder="1" applyAlignment="1" applyProtection="1">
      <alignment vertical="center" wrapText="1"/>
      <protection locked="0"/>
    </xf>
    <xf numFmtId="0" fontId="9" fillId="0" borderId="12" xfId="3" applyFont="1" applyFill="1" applyBorder="1" applyAlignment="1" applyProtection="1">
      <alignment vertical="center" wrapText="1"/>
      <protection locked="0"/>
    </xf>
    <xf numFmtId="0" fontId="9" fillId="0" borderId="7" xfId="0" applyFont="1" applyBorder="1" applyAlignment="1">
      <alignment vertical="center"/>
    </xf>
    <xf numFmtId="0" fontId="9" fillId="0" borderId="7" xfId="0" applyFont="1" applyBorder="1" applyAlignment="1">
      <alignment horizontal="center"/>
    </xf>
    <xf numFmtId="0" fontId="9" fillId="0" borderId="0" xfId="0" applyFont="1" applyBorder="1" applyAlignment="1">
      <alignment horizontal="center"/>
    </xf>
    <xf numFmtId="0" fontId="9" fillId="0" borderId="0" xfId="0" applyFont="1" applyBorder="1" applyAlignment="1">
      <alignment vertical="center"/>
    </xf>
    <xf numFmtId="9" fontId="4" fillId="0" borderId="7" xfId="2" applyFont="1" applyBorder="1" applyAlignment="1">
      <alignment horizontal="center" vertical="center" wrapText="1"/>
    </xf>
    <xf numFmtId="0" fontId="6" fillId="0" borderId="0" xfId="0" applyFont="1" applyAlignment="1">
      <alignment horizontal="center" vertical="center"/>
    </xf>
    <xf numFmtId="10" fontId="0" fillId="0" borderId="7" xfId="2" applyNumberFormat="1" applyFont="1" applyBorder="1" applyAlignment="1">
      <alignment horizontal="center"/>
    </xf>
    <xf numFmtId="9" fontId="9" fillId="0" borderId="7" xfId="0" applyNumberFormat="1" applyFont="1" applyBorder="1" applyAlignment="1" applyProtection="1">
      <alignment horizontal="center"/>
      <protection locked="0"/>
    </xf>
    <xf numFmtId="0" fontId="9" fillId="0" borderId="7" xfId="0" applyFont="1" applyBorder="1"/>
    <xf numFmtId="0" fontId="14" fillId="0" borderId="11" xfId="3" applyFont="1" applyBorder="1" applyAlignment="1">
      <alignment horizontal="center" vertical="center" wrapText="1"/>
    </xf>
    <xf numFmtId="9" fontId="14" fillId="0" borderId="11" xfId="2" applyFont="1" applyBorder="1" applyAlignment="1">
      <alignment horizontal="center" vertical="center" wrapText="1"/>
    </xf>
    <xf numFmtId="0" fontId="9" fillId="0" borderId="42" xfId="3" applyFont="1" applyBorder="1" applyAlignment="1">
      <alignment vertical="center" wrapText="1"/>
    </xf>
    <xf numFmtId="0" fontId="9" fillId="0" borderId="11" xfId="3" applyFont="1" applyBorder="1" applyAlignment="1">
      <alignment horizontal="center" vertical="center" wrapText="1"/>
    </xf>
    <xf numFmtId="0" fontId="8" fillId="0" borderId="45" xfId="0" applyFont="1" applyBorder="1" applyAlignment="1">
      <alignment horizontal="center" vertical="center" wrapText="1"/>
    </xf>
    <xf numFmtId="0" fontId="8" fillId="0" borderId="52" xfId="0" applyFont="1" applyBorder="1" applyAlignment="1">
      <alignment horizontal="center" vertical="center" wrapText="1"/>
    </xf>
    <xf numFmtId="0" fontId="6" fillId="0" borderId="42" xfId="3" applyFont="1" applyBorder="1" applyAlignment="1">
      <alignment vertical="center" wrapText="1"/>
    </xf>
    <xf numFmtId="9" fontId="9" fillId="0" borderId="11" xfId="2" applyFont="1" applyBorder="1" applyAlignment="1">
      <alignment horizontal="center" vertical="center"/>
    </xf>
    <xf numFmtId="0" fontId="8" fillId="0" borderId="5" xfId="0" applyFont="1" applyBorder="1" applyAlignment="1">
      <alignment horizontal="center" vertical="center" wrapText="1"/>
    </xf>
    <xf numFmtId="0" fontId="9" fillId="0" borderId="11" xfId="3" applyFont="1" applyBorder="1" applyAlignment="1">
      <alignment vertical="center" wrapText="1"/>
    </xf>
    <xf numFmtId="1" fontId="9" fillId="0" borderId="11" xfId="1" applyNumberFormat="1" applyFont="1" applyBorder="1" applyAlignment="1">
      <alignment horizontal="center" vertical="center"/>
    </xf>
    <xf numFmtId="9" fontId="11" fillId="7" borderId="7" xfId="0" applyNumberFormat="1" applyFont="1" applyFill="1" applyBorder="1" applyAlignment="1" applyProtection="1">
      <alignment vertical="center"/>
      <protection locked="0"/>
    </xf>
    <xf numFmtId="9" fontId="0" fillId="0" borderId="7" xfId="2" applyFont="1" applyBorder="1"/>
    <xf numFmtId="9" fontId="0" fillId="0" borderId="7" xfId="0" applyNumberFormat="1" applyBorder="1"/>
    <xf numFmtId="9" fontId="0" fillId="0" borderId="7" xfId="2" applyNumberFormat="1" applyFont="1" applyBorder="1" applyAlignment="1">
      <alignment horizontal="center"/>
    </xf>
    <xf numFmtId="0" fontId="9" fillId="0" borderId="11" xfId="0" applyFont="1" applyFill="1" applyBorder="1" applyAlignment="1">
      <alignment vertical="center" wrapText="1"/>
    </xf>
    <xf numFmtId="0" fontId="8" fillId="0" borderId="11" xfId="0" applyFont="1" applyFill="1" applyBorder="1" applyAlignment="1">
      <alignment horizontal="center" vertical="center" wrapText="1"/>
    </xf>
    <xf numFmtId="9" fontId="9" fillId="0" borderId="11" xfId="2" applyFont="1" applyFill="1" applyBorder="1" applyAlignment="1" applyProtection="1">
      <alignment horizontal="center" vertical="center"/>
    </xf>
    <xf numFmtId="9" fontId="16" fillId="2" borderId="24" xfId="2" applyFont="1" applyFill="1" applyBorder="1" applyAlignment="1" applyProtection="1">
      <alignment vertical="center"/>
      <protection locked="0"/>
    </xf>
    <xf numFmtId="9" fontId="0" fillId="0" borderId="7" xfId="0" applyNumberFormat="1" applyBorder="1" applyAlignment="1">
      <alignment horizontal="center"/>
    </xf>
    <xf numFmtId="9" fontId="0" fillId="0" borderId="42" xfId="0" applyNumberFormat="1" applyBorder="1" applyAlignment="1">
      <alignment horizontal="center"/>
    </xf>
    <xf numFmtId="1" fontId="9" fillId="0" borderId="5" xfId="1" applyNumberFormat="1" applyFont="1" applyFill="1" applyBorder="1" applyAlignment="1" applyProtection="1">
      <alignment horizontal="center" vertical="center"/>
    </xf>
    <xf numFmtId="0" fontId="14" fillId="0" borderId="7" xfId="3" applyFont="1" applyFill="1" applyBorder="1" applyAlignment="1">
      <alignment horizontal="center" vertical="top" wrapText="1"/>
    </xf>
    <xf numFmtId="0" fontId="9" fillId="0" borderId="58" xfId="0" applyFont="1" applyBorder="1" applyAlignment="1" applyProtection="1">
      <alignment wrapText="1"/>
      <protection locked="0"/>
    </xf>
    <xf numFmtId="0" fontId="9" fillId="0" borderId="11" xfId="0" applyFont="1" applyFill="1" applyBorder="1" applyAlignment="1">
      <alignment horizontal="left" vertical="center" wrapText="1"/>
    </xf>
    <xf numFmtId="9" fontId="9" fillId="0" borderId="7" xfId="2" applyNumberFormat="1" applyFont="1" applyFill="1" applyBorder="1" applyAlignment="1" applyProtection="1">
      <alignment horizontal="center" vertical="center" wrapText="1"/>
    </xf>
    <xf numFmtId="9" fontId="8" fillId="0" borderId="7" xfId="2" applyFont="1" applyFill="1" applyBorder="1" applyAlignment="1">
      <alignment horizontal="center" vertical="center" wrapText="1"/>
    </xf>
    <xf numFmtId="0" fontId="14" fillId="0" borderId="16" xfId="3" applyFont="1" applyBorder="1" applyAlignment="1">
      <alignment horizontal="center" vertical="center" wrapText="1"/>
    </xf>
    <xf numFmtId="0" fontId="6" fillId="0" borderId="50" xfId="3" applyFont="1" applyBorder="1" applyAlignment="1">
      <alignment vertical="center" wrapText="1"/>
    </xf>
    <xf numFmtId="0" fontId="9" fillId="0" borderId="16" xfId="3" applyFont="1" applyBorder="1" applyAlignment="1">
      <alignment horizontal="center" vertical="center" wrapText="1"/>
    </xf>
    <xf numFmtId="0" fontId="8" fillId="0" borderId="45" xfId="0" applyFont="1" applyBorder="1" applyAlignment="1">
      <alignment horizontal="center" vertical="center" wrapText="1"/>
    </xf>
    <xf numFmtId="0" fontId="9" fillId="0" borderId="11" xfId="0" applyFont="1" applyBorder="1" applyAlignment="1">
      <alignment vertical="center" wrapText="1"/>
    </xf>
    <xf numFmtId="1" fontId="9" fillId="0" borderId="11" xfId="1" applyNumberFormat="1" applyFont="1" applyFill="1" applyBorder="1" applyAlignment="1" applyProtection="1">
      <alignment horizontal="center" vertical="center"/>
    </xf>
    <xf numFmtId="9" fontId="14" fillId="0" borderId="11" xfId="2" applyFont="1" applyBorder="1" applyAlignment="1">
      <alignment horizontal="center" vertical="center" wrapText="1"/>
    </xf>
    <xf numFmtId="0" fontId="14" fillId="0" borderId="11" xfId="3" applyFont="1" applyBorder="1" applyAlignment="1">
      <alignment horizontal="center" vertical="center" wrapText="1"/>
    </xf>
    <xf numFmtId="0" fontId="14" fillId="0" borderId="42" xfId="3" applyFont="1" applyBorder="1" applyAlignment="1">
      <alignment horizontal="center" vertical="center" wrapText="1"/>
    </xf>
    <xf numFmtId="9" fontId="39" fillId="0" borderId="7" xfId="3" applyNumberFormat="1" applyFont="1" applyFill="1" applyBorder="1" applyAlignment="1" applyProtection="1">
      <alignment horizontal="center" vertical="center" wrapText="1"/>
      <protection locked="0"/>
    </xf>
    <xf numFmtId="9" fontId="9" fillId="0" borderId="13" xfId="2" applyFont="1" applyFill="1" applyBorder="1" applyAlignment="1" applyProtection="1">
      <alignment horizontal="center" vertical="center" wrapText="1"/>
      <protection locked="0"/>
    </xf>
    <xf numFmtId="9" fontId="13" fillId="2" borderId="7" xfId="3" applyNumberFormat="1" applyFont="1" applyFill="1" applyBorder="1" applyAlignment="1" applyProtection="1">
      <alignment horizontal="center" vertical="center" wrapText="1"/>
      <protection locked="0"/>
    </xf>
    <xf numFmtId="9" fontId="40" fillId="0" borderId="7" xfId="3" applyNumberFormat="1" applyFont="1" applyFill="1" applyBorder="1" applyAlignment="1" applyProtection="1">
      <alignment horizontal="center" vertical="center" wrapText="1"/>
      <protection locked="0"/>
    </xf>
    <xf numFmtId="9" fontId="41" fillId="0" borderId="42" xfId="2" applyFont="1" applyFill="1" applyBorder="1" applyAlignment="1" applyProtection="1">
      <alignment horizontal="center" vertical="center"/>
      <protection locked="0"/>
    </xf>
    <xf numFmtId="9" fontId="41" fillId="0" borderId="31" xfId="2" applyFont="1" applyFill="1" applyBorder="1" applyAlignment="1" applyProtection="1">
      <alignment horizontal="center" vertical="center"/>
      <protection locked="0"/>
    </xf>
    <xf numFmtId="9" fontId="14" fillId="0" borderId="42" xfId="2" applyFont="1" applyFill="1" applyBorder="1" applyAlignment="1" applyProtection="1">
      <alignment horizontal="center" vertical="center"/>
      <protection locked="0"/>
    </xf>
    <xf numFmtId="9" fontId="14" fillId="0" borderId="31" xfId="2" applyFont="1" applyFill="1" applyBorder="1" applyAlignment="1" applyProtection="1">
      <alignment horizontal="center" vertical="center"/>
      <protection locked="0"/>
    </xf>
    <xf numFmtId="9" fontId="41" fillId="0" borderId="13" xfId="2" applyFont="1" applyFill="1" applyBorder="1" applyAlignment="1" applyProtection="1">
      <alignment horizontal="center" vertical="center"/>
      <protection locked="0"/>
    </xf>
    <xf numFmtId="9" fontId="4" fillId="0" borderId="42" xfId="0" applyNumberFormat="1" applyFont="1" applyBorder="1" applyAlignment="1">
      <alignment horizontal="center"/>
    </xf>
    <xf numFmtId="9" fontId="8" fillId="0" borderId="7" xfId="0" applyNumberFormat="1" applyFont="1" applyBorder="1" applyAlignment="1">
      <alignment horizontal="center" vertical="center"/>
    </xf>
    <xf numFmtId="0" fontId="0" fillId="2" borderId="7" xfId="0" applyFill="1" applyBorder="1" applyAlignment="1">
      <alignment wrapText="1"/>
    </xf>
    <xf numFmtId="9" fontId="8" fillId="0" borderId="14" xfId="2" applyFont="1" applyBorder="1" applyAlignment="1">
      <alignment horizontal="center" vertical="center" wrapText="1"/>
    </xf>
    <xf numFmtId="9" fontId="44" fillId="0" borderId="42" xfId="2" applyFont="1" applyFill="1" applyBorder="1" applyAlignment="1" applyProtection="1">
      <alignment horizontal="center" vertical="center"/>
      <protection locked="0"/>
    </xf>
    <xf numFmtId="9" fontId="14" fillId="0" borderId="11" xfId="2" applyFont="1" applyBorder="1" applyAlignment="1">
      <alignment horizontal="center" vertical="center" wrapText="1"/>
    </xf>
    <xf numFmtId="0" fontId="14" fillId="0" borderId="11" xfId="3" applyFont="1" applyBorder="1" applyAlignment="1">
      <alignment horizontal="center" vertical="center" wrapText="1"/>
    </xf>
    <xf numFmtId="0" fontId="9" fillId="0" borderId="11" xfId="3" applyFont="1" applyBorder="1" applyAlignment="1">
      <alignment horizontal="center" vertical="center" wrapText="1"/>
    </xf>
    <xf numFmtId="0" fontId="9" fillId="0" borderId="42" xfId="3" applyFont="1" applyBorder="1" applyAlignment="1">
      <alignment vertical="center" wrapText="1"/>
    </xf>
    <xf numFmtId="0" fontId="8" fillId="0" borderId="45" xfId="0" applyFont="1" applyBorder="1" applyAlignment="1">
      <alignment horizontal="center" vertical="center" wrapText="1"/>
    </xf>
    <xf numFmtId="9" fontId="45" fillId="0" borderId="42" xfId="2" applyFont="1" applyFill="1" applyBorder="1" applyAlignment="1" applyProtection="1">
      <alignment horizontal="center" vertical="center"/>
      <protection locked="0"/>
    </xf>
    <xf numFmtId="9" fontId="45" fillId="0" borderId="31" xfId="2" applyFont="1" applyFill="1" applyBorder="1" applyAlignment="1" applyProtection="1">
      <alignment horizontal="center" vertical="center"/>
      <protection locked="0"/>
    </xf>
    <xf numFmtId="9" fontId="9" fillId="0" borderId="7" xfId="2" applyFont="1" applyBorder="1" applyAlignment="1" applyProtection="1">
      <alignment horizontal="center"/>
      <protection locked="0"/>
    </xf>
    <xf numFmtId="9" fontId="9" fillId="0" borderId="7" xfId="0" applyNumberFormat="1" applyFont="1" applyBorder="1" applyProtection="1">
      <protection locked="0"/>
    </xf>
    <xf numFmtId="9" fontId="46" fillId="0" borderId="7" xfId="0" applyNumberFormat="1" applyFont="1" applyBorder="1" applyAlignment="1">
      <alignment horizontal="center"/>
    </xf>
    <xf numFmtId="9" fontId="9" fillId="11" borderId="7" xfId="2" applyFont="1" applyFill="1" applyBorder="1" applyAlignment="1" applyProtection="1">
      <alignment horizontal="center" vertical="center"/>
    </xf>
    <xf numFmtId="9" fontId="8" fillId="0" borderId="7" xfId="2" applyFont="1" applyFill="1" applyBorder="1" applyAlignment="1" applyProtection="1">
      <alignment horizontal="left" vertical="center" wrapText="1"/>
    </xf>
    <xf numFmtId="9" fontId="44" fillId="0" borderId="31" xfId="2" applyFont="1" applyFill="1" applyBorder="1" applyAlignment="1" applyProtection="1">
      <alignment horizontal="center" vertical="center"/>
      <protection locked="0"/>
    </xf>
    <xf numFmtId="9" fontId="3" fillId="0" borderId="7" xfId="0" applyNumberFormat="1" applyFont="1" applyBorder="1" applyAlignment="1">
      <alignment horizontal="center"/>
    </xf>
    <xf numFmtId="0" fontId="16" fillId="2" borderId="13" xfId="1" applyNumberFormat="1" applyFont="1" applyFill="1" applyBorder="1" applyAlignment="1" applyProtection="1">
      <alignment horizontal="center" vertical="center"/>
      <protection locked="0"/>
    </xf>
    <xf numFmtId="49" fontId="8" fillId="0" borderId="7" xfId="1" applyNumberFormat="1" applyFont="1" applyFill="1" applyBorder="1" applyAlignment="1" applyProtection="1">
      <alignment horizontal="center" vertical="center" wrapText="1"/>
    </xf>
    <xf numFmtId="0" fontId="4" fillId="0" borderId="0" xfId="0" applyFont="1"/>
    <xf numFmtId="9" fontId="35" fillId="2" borderId="57" xfId="2" applyFont="1" applyFill="1" applyBorder="1" applyAlignment="1" applyProtection="1">
      <alignment horizontal="center" vertical="center" wrapText="1"/>
      <protection locked="0"/>
    </xf>
    <xf numFmtId="165" fontId="41" fillId="12" borderId="7" xfId="2" applyNumberFormat="1" applyFont="1" applyFill="1" applyBorder="1" applyAlignment="1">
      <alignment horizontal="center" vertical="center"/>
    </xf>
    <xf numFmtId="9" fontId="41" fillId="12" borderId="7" xfId="2" applyFont="1" applyFill="1" applyBorder="1" applyAlignment="1">
      <alignment horizontal="center" vertical="center"/>
    </xf>
    <xf numFmtId="9" fontId="35" fillId="2" borderId="59" xfId="2" applyFont="1" applyFill="1" applyBorder="1" applyAlignment="1" applyProtection="1">
      <alignment horizontal="center" vertical="center" wrapText="1"/>
      <protection locked="0"/>
    </xf>
    <xf numFmtId="9" fontId="9" fillId="9" borderId="7" xfId="2" applyFont="1" applyFill="1" applyBorder="1" applyAlignment="1" applyProtection="1">
      <alignment horizontal="center" vertical="center"/>
    </xf>
    <xf numFmtId="0" fontId="8" fillId="0" borderId="24" xfId="1" applyNumberFormat="1" applyFont="1" applyFill="1" applyBorder="1" applyAlignment="1" applyProtection="1">
      <alignment horizontal="center" vertical="center" wrapText="1"/>
    </xf>
    <xf numFmtId="0" fontId="8" fillId="0" borderId="4" xfId="1" applyNumberFormat="1" applyFont="1" applyFill="1" applyBorder="1" applyAlignment="1" applyProtection="1">
      <alignment horizontal="center" vertical="center" wrapText="1"/>
      <protection locked="0"/>
    </xf>
    <xf numFmtId="0" fontId="0" fillId="0" borderId="42" xfId="0" applyNumberFormat="1" applyBorder="1" applyAlignment="1">
      <alignment horizontal="center"/>
    </xf>
    <xf numFmtId="9" fontId="0" fillId="0" borderId="42" xfId="2" applyFont="1" applyBorder="1" applyAlignment="1">
      <alignment horizontal="center"/>
    </xf>
    <xf numFmtId="0" fontId="8" fillId="0" borderId="7" xfId="1" applyNumberFormat="1" applyFont="1" applyFill="1" applyBorder="1" applyAlignment="1" applyProtection="1">
      <alignment horizontal="center" vertical="center" wrapText="1"/>
      <protection locked="0"/>
    </xf>
    <xf numFmtId="167" fontId="9" fillId="0" borderId="38" xfId="1" applyNumberFormat="1" applyFont="1" applyBorder="1" applyAlignment="1" applyProtection="1">
      <alignment horizontal="center" wrapText="1"/>
      <protection locked="0"/>
    </xf>
    <xf numFmtId="10" fontId="14" fillId="0" borderId="7" xfId="0" applyNumberFormat="1" applyFont="1" applyBorder="1" applyAlignment="1" applyProtection="1">
      <alignment horizontal="center"/>
      <protection locked="0"/>
    </xf>
    <xf numFmtId="164" fontId="9" fillId="7" borderId="7" xfId="2" applyNumberFormat="1" applyFont="1" applyFill="1" applyBorder="1" applyAlignment="1" applyProtection="1">
      <alignment horizontal="center" vertical="center"/>
    </xf>
    <xf numFmtId="0" fontId="16" fillId="2" borderId="40" xfId="0" applyFont="1" applyFill="1" applyBorder="1" applyAlignment="1" applyProtection="1">
      <alignment horizontal="center" vertical="center"/>
      <protection locked="0"/>
    </xf>
    <xf numFmtId="0" fontId="16" fillId="2" borderId="41" xfId="0" applyFont="1" applyFill="1" applyBorder="1" applyAlignment="1" applyProtection="1">
      <alignment horizontal="center" vertical="center"/>
      <protection locked="0"/>
    </xf>
    <xf numFmtId="0" fontId="6" fillId="2" borderId="11" xfId="3" applyFont="1" applyFill="1" applyBorder="1" applyAlignment="1" applyProtection="1">
      <alignment horizontal="center" vertical="center" wrapText="1"/>
      <protection locked="0"/>
    </xf>
    <xf numFmtId="9" fontId="6" fillId="2" borderId="31" xfId="2" applyFont="1" applyFill="1" applyBorder="1" applyAlignment="1" applyProtection="1">
      <alignment horizontal="center" vertical="center" wrapText="1"/>
      <protection locked="0"/>
    </xf>
    <xf numFmtId="9" fontId="44" fillId="0" borderId="13" xfId="2" applyFont="1" applyFill="1" applyBorder="1" applyAlignment="1" applyProtection="1">
      <alignment horizontal="center" vertical="center"/>
      <protection locked="0"/>
    </xf>
    <xf numFmtId="9" fontId="9" fillId="0" borderId="7" xfId="3" applyNumberFormat="1" applyFont="1" applyFill="1" applyBorder="1" applyAlignment="1" applyProtection="1">
      <alignment horizontal="center" vertical="center" wrapText="1"/>
      <protection locked="0"/>
    </xf>
    <xf numFmtId="9" fontId="44" fillId="0" borderId="42" xfId="2" applyNumberFormat="1" applyFont="1" applyFill="1" applyBorder="1" applyAlignment="1" applyProtection="1">
      <alignment horizontal="center" vertical="center"/>
      <protection locked="0"/>
    </xf>
    <xf numFmtId="9" fontId="44" fillId="0" borderId="31" xfId="2" applyNumberFormat="1" applyFont="1" applyFill="1" applyBorder="1" applyAlignment="1" applyProtection="1">
      <alignment horizontal="center" vertical="center"/>
      <protection locked="0"/>
    </xf>
    <xf numFmtId="0" fontId="0" fillId="0" borderId="0" xfId="0" applyAlignment="1">
      <alignment horizontal="center"/>
    </xf>
    <xf numFmtId="0" fontId="6" fillId="2" borderId="36" xfId="3" applyFont="1" applyFill="1" applyBorder="1" applyAlignment="1" applyProtection="1">
      <alignment horizontal="center" vertical="center" wrapText="1"/>
      <protection locked="0"/>
    </xf>
    <xf numFmtId="9" fontId="9" fillId="0" borderId="7" xfId="2" applyFont="1" applyBorder="1" applyAlignment="1" applyProtection="1">
      <alignment horizontal="center" vertical="center"/>
      <protection locked="0"/>
    </xf>
    <xf numFmtId="0" fontId="9" fillId="0" borderId="7" xfId="0" applyFont="1" applyBorder="1" applyAlignment="1" applyProtection="1">
      <alignment horizontal="center" vertical="center" wrapText="1"/>
      <protection locked="0"/>
    </xf>
    <xf numFmtId="0" fontId="0" fillId="0" borderId="12" xfId="0" applyBorder="1" applyAlignment="1">
      <alignment horizontal="left"/>
    </xf>
    <xf numFmtId="0" fontId="0" fillId="0" borderId="13" xfId="0" applyBorder="1" applyAlignment="1">
      <alignment horizontal="left"/>
    </xf>
    <xf numFmtId="9" fontId="0" fillId="0" borderId="14" xfId="0" applyNumberFormat="1" applyBorder="1" applyAlignment="1">
      <alignment horizontal="left"/>
    </xf>
    <xf numFmtId="9" fontId="8" fillId="0" borderId="48" xfId="2" applyFont="1" applyFill="1" applyBorder="1" applyAlignment="1" applyProtection="1">
      <alignment horizontal="center" vertical="center" wrapText="1"/>
      <protection locked="0"/>
    </xf>
    <xf numFmtId="9" fontId="8" fillId="0" borderId="13" xfId="2" applyFont="1" applyFill="1" applyBorder="1" applyAlignment="1" applyProtection="1">
      <alignment horizontal="center" vertical="center" wrapText="1"/>
      <protection locked="0"/>
    </xf>
    <xf numFmtId="9" fontId="45" fillId="0" borderId="13" xfId="2" applyFont="1" applyFill="1" applyBorder="1" applyAlignment="1" applyProtection="1">
      <alignment horizontal="center" vertical="center"/>
      <protection locked="0"/>
    </xf>
    <xf numFmtId="9" fontId="9" fillId="0" borderId="7" xfId="2" applyFont="1" applyBorder="1" applyProtection="1">
      <protection locked="0"/>
    </xf>
    <xf numFmtId="165" fontId="9" fillId="0" borderId="7" xfId="2" applyNumberFormat="1" applyFont="1" applyBorder="1" applyProtection="1">
      <protection locked="0"/>
    </xf>
    <xf numFmtId="165" fontId="2" fillId="0" borderId="7" xfId="2" applyNumberFormat="1" applyFont="1" applyBorder="1" applyProtection="1">
      <protection locked="0"/>
    </xf>
    <xf numFmtId="9" fontId="9" fillId="0" borderId="7" xfId="2" applyFont="1" applyBorder="1" applyAlignment="1" applyProtection="1">
      <alignment horizontal="center" vertical="center" wrapText="1"/>
      <protection locked="0"/>
    </xf>
    <xf numFmtId="0" fontId="9" fillId="0" borderId="7" xfId="0" applyFont="1" applyBorder="1" applyAlignment="1" applyProtection="1">
      <alignment horizontal="center" wrapText="1"/>
      <protection locked="0"/>
    </xf>
    <xf numFmtId="9" fontId="8" fillId="0" borderId="14" xfId="2" applyFont="1" applyFill="1" applyBorder="1" applyAlignment="1" applyProtection="1">
      <alignment horizontal="center" vertical="center"/>
      <protection locked="0"/>
    </xf>
    <xf numFmtId="0" fontId="9" fillId="0" borderId="11" xfId="0" applyFont="1" applyBorder="1" applyAlignment="1" applyProtection="1">
      <alignment wrapText="1"/>
      <protection locked="0"/>
    </xf>
    <xf numFmtId="0" fontId="9" fillId="0" borderId="60" xfId="0" applyFont="1" applyBorder="1" applyAlignment="1" applyProtection="1">
      <alignment wrapText="1"/>
      <protection locked="0"/>
    </xf>
    <xf numFmtId="9" fontId="9" fillId="0" borderId="0" xfId="2" applyFont="1" applyBorder="1" applyAlignment="1" applyProtection="1">
      <alignment horizontal="center" vertical="center"/>
      <protection locked="0"/>
    </xf>
    <xf numFmtId="0" fontId="9" fillId="0" borderId="40" xfId="0" applyFont="1" applyBorder="1" applyProtection="1">
      <protection locked="0"/>
    </xf>
    <xf numFmtId="9" fontId="8" fillId="0" borderId="14" xfId="2" applyNumberFormat="1" applyFont="1" applyFill="1" applyBorder="1" applyAlignment="1" applyProtection="1">
      <alignment horizontal="center" vertical="center"/>
      <protection locked="0"/>
    </xf>
    <xf numFmtId="9" fontId="13" fillId="2" borderId="1" xfId="3" applyNumberFormat="1" applyFont="1" applyFill="1" applyBorder="1" applyAlignment="1" applyProtection="1">
      <alignment horizontal="center" vertical="center" wrapText="1"/>
      <protection locked="0"/>
    </xf>
    <xf numFmtId="9" fontId="13" fillId="2" borderId="57" xfId="3" applyNumberFormat="1" applyFont="1" applyFill="1" applyBorder="1" applyAlignment="1" applyProtection="1">
      <alignment horizontal="center" vertical="center" wrapText="1"/>
      <protection locked="0"/>
    </xf>
    <xf numFmtId="9" fontId="16" fillId="2" borderId="38" xfId="2" applyFont="1" applyFill="1" applyBorder="1" applyAlignment="1" applyProtection="1">
      <alignment horizontal="center" vertical="center"/>
      <protection locked="0"/>
    </xf>
    <xf numFmtId="0" fontId="35" fillId="0" borderId="0" xfId="0" applyFont="1" applyAlignment="1" applyProtection="1">
      <alignment wrapText="1"/>
      <protection locked="0"/>
    </xf>
    <xf numFmtId="0" fontId="8" fillId="0" borderId="24" xfId="3" applyFont="1" applyFill="1" applyBorder="1" applyAlignment="1" applyProtection="1">
      <alignment horizontal="center" vertical="center" wrapText="1"/>
      <protection locked="0"/>
    </xf>
    <xf numFmtId="165" fontId="8" fillId="0" borderId="7" xfId="2" applyNumberFormat="1" applyFont="1" applyFill="1" applyBorder="1" applyAlignment="1" applyProtection="1">
      <alignment horizontal="center" vertical="center" wrapText="1"/>
    </xf>
    <xf numFmtId="164" fontId="8" fillId="0" borderId="4" xfId="1" applyFont="1" applyFill="1" applyBorder="1" applyAlignment="1" applyProtection="1">
      <alignment horizontal="center" vertical="center" wrapText="1"/>
      <protection locked="0"/>
    </xf>
    <xf numFmtId="167" fontId="14" fillId="0" borderId="42" xfId="1" applyNumberFormat="1" applyFont="1" applyFill="1" applyBorder="1" applyAlignment="1" applyProtection="1">
      <alignment horizontal="center" vertical="center"/>
      <protection locked="0"/>
    </xf>
    <xf numFmtId="10" fontId="8" fillId="0" borderId="4" xfId="2" applyNumberFormat="1" applyFont="1" applyFill="1" applyBorder="1" applyAlignment="1" applyProtection="1">
      <alignment horizontal="center" vertical="center" wrapText="1"/>
      <protection locked="0"/>
    </xf>
    <xf numFmtId="164" fontId="8" fillId="0" borderId="24" xfId="1" applyFont="1" applyFill="1" applyBorder="1" applyAlignment="1" applyProtection="1">
      <alignment horizontal="center" vertical="center"/>
      <protection locked="0"/>
    </xf>
    <xf numFmtId="9" fontId="9" fillId="0" borderId="7" xfId="2" applyFont="1" applyBorder="1" applyAlignment="1">
      <alignment horizontal="center" vertical="center" wrapText="1"/>
    </xf>
    <xf numFmtId="0" fontId="0" fillId="0" borderId="0" xfId="0" applyBorder="1" applyAlignment="1">
      <alignment horizontal="center" vertical="center" wrapText="1"/>
    </xf>
    <xf numFmtId="9" fontId="0" fillId="0" borderId="0" xfId="2" applyNumberFormat="1" applyFont="1" applyBorder="1" applyAlignment="1">
      <alignment horizontal="center"/>
    </xf>
    <xf numFmtId="9" fontId="3" fillId="0" borderId="0" xfId="0" applyNumberFormat="1" applyFont="1" applyBorder="1" applyAlignment="1">
      <alignment horizontal="center"/>
    </xf>
    <xf numFmtId="0" fontId="9" fillId="0" borderId="7" xfId="0" applyFont="1" applyBorder="1" applyAlignment="1" applyProtection="1">
      <alignment horizontal="center" vertical="center" wrapText="1"/>
      <protection locked="0"/>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164" fontId="45" fillId="0" borderId="42" xfId="1" applyFont="1" applyFill="1" applyBorder="1" applyAlignment="1" applyProtection="1">
      <alignment horizontal="center" vertical="center"/>
      <protection locked="0"/>
    </xf>
    <xf numFmtId="164" fontId="0" fillId="0" borderId="7" xfId="1" applyFont="1" applyBorder="1"/>
    <xf numFmtId="164" fontId="8" fillId="0" borderId="4" xfId="1" applyFont="1" applyFill="1" applyBorder="1" applyAlignment="1" applyProtection="1">
      <alignment vertical="center" wrapText="1"/>
      <protection locked="0"/>
    </xf>
    <xf numFmtId="9" fontId="8" fillId="0" borderId="7" xfId="2" applyFont="1" applyFill="1" applyBorder="1" applyAlignment="1" applyProtection="1">
      <alignment vertical="center" wrapText="1"/>
    </xf>
    <xf numFmtId="0" fontId="9" fillId="0" borderId="7" xfId="0" applyFont="1" applyBorder="1" applyAlignment="1" applyProtection="1">
      <alignment horizontal="center" vertical="center" wrapText="1"/>
      <protection locked="0"/>
    </xf>
    <xf numFmtId="9" fontId="8" fillId="11" borderId="7" xfId="2" applyFont="1" applyFill="1" applyBorder="1" applyAlignment="1" applyProtection="1">
      <alignment horizontal="center" vertical="center"/>
    </xf>
    <xf numFmtId="0" fontId="9" fillId="0" borderId="13" xfId="0" applyFont="1" applyBorder="1" applyAlignment="1" applyProtection="1">
      <alignment vertical="center" wrapText="1"/>
      <protection locked="0"/>
    </xf>
    <xf numFmtId="165" fontId="9" fillId="0" borderId="0" xfId="2" applyNumberFormat="1" applyFont="1" applyBorder="1" applyAlignment="1" applyProtection="1">
      <alignment horizontal="center" vertical="center"/>
      <protection locked="0"/>
    </xf>
    <xf numFmtId="0" fontId="9" fillId="0" borderId="0" xfId="0" applyFont="1" applyBorder="1" applyAlignment="1" applyProtection="1">
      <alignment horizontal="center" vertical="center" wrapText="1"/>
      <protection locked="0"/>
    </xf>
    <xf numFmtId="9" fontId="45" fillId="0" borderId="8" xfId="2" applyFont="1" applyFill="1" applyBorder="1" applyAlignment="1" applyProtection="1">
      <alignment horizontal="center" vertical="center"/>
      <protection locked="0"/>
    </xf>
    <xf numFmtId="9" fontId="45" fillId="0" borderId="38" xfId="2" applyFont="1" applyFill="1" applyBorder="1" applyAlignment="1" applyProtection="1">
      <alignment horizontal="center" vertical="center"/>
      <protection locked="0"/>
    </xf>
    <xf numFmtId="0" fontId="9" fillId="0" borderId="7" xfId="0" applyFont="1" applyBorder="1" applyAlignment="1" applyProtection="1">
      <alignment horizontal="center" vertical="center" wrapText="1"/>
      <protection locked="0"/>
    </xf>
    <xf numFmtId="165" fontId="8" fillId="0" borderId="4" xfId="2" applyNumberFormat="1" applyFont="1" applyFill="1" applyBorder="1" applyAlignment="1" applyProtection="1">
      <alignment horizontal="center" vertical="center" wrapText="1"/>
      <protection locked="0"/>
    </xf>
    <xf numFmtId="9" fontId="0" fillId="0" borderId="42" xfId="0" applyNumberFormat="1" applyBorder="1" applyAlignment="1">
      <alignment vertical="center"/>
    </xf>
    <xf numFmtId="9" fontId="8" fillId="0" borderId="4" xfId="2" applyNumberFormat="1" applyFont="1" applyFill="1" applyBorder="1" applyAlignment="1" applyProtection="1">
      <alignment horizontal="center" vertical="center" wrapText="1"/>
      <protection locked="0"/>
    </xf>
    <xf numFmtId="0" fontId="9" fillId="0" borderId="0" xfId="0" applyFont="1" applyBorder="1" applyAlignment="1" applyProtection="1">
      <alignment horizontal="center" wrapText="1"/>
      <protection locked="0"/>
    </xf>
    <xf numFmtId="9" fontId="31" fillId="12" borderId="7" xfId="0" applyNumberFormat="1" applyFont="1" applyFill="1" applyBorder="1" applyAlignment="1">
      <alignment vertical="center"/>
    </xf>
    <xf numFmtId="0" fontId="0" fillId="13" borderId="0" xfId="0" applyFill="1" applyBorder="1" applyAlignment="1">
      <alignment vertical="center"/>
    </xf>
    <xf numFmtId="0" fontId="26" fillId="12" borderId="21" xfId="0" applyFont="1" applyFill="1" applyBorder="1" applyAlignment="1">
      <alignment vertical="center"/>
    </xf>
    <xf numFmtId="0" fontId="26" fillId="12" borderId="0" xfId="0" applyFont="1" applyFill="1" applyBorder="1" applyAlignment="1">
      <alignment vertical="center"/>
    </xf>
    <xf numFmtId="9" fontId="31" fillId="12" borderId="11" xfId="0" applyNumberFormat="1" applyFont="1" applyFill="1" applyBorder="1" applyAlignment="1">
      <alignment vertical="center"/>
    </xf>
    <xf numFmtId="0" fontId="26" fillId="12" borderId="10" xfId="0" applyFont="1" applyFill="1" applyBorder="1" applyAlignment="1">
      <alignment vertical="center"/>
    </xf>
    <xf numFmtId="0" fontId="26" fillId="13" borderId="0" xfId="0" applyFont="1" applyFill="1" applyBorder="1" applyAlignment="1">
      <alignment vertical="center"/>
    </xf>
    <xf numFmtId="9" fontId="26" fillId="13" borderId="0" xfId="0" applyNumberFormat="1" applyFont="1" applyFill="1" applyBorder="1" applyAlignment="1">
      <alignment vertical="center"/>
    </xf>
    <xf numFmtId="9" fontId="31" fillId="12" borderId="7" xfId="0" applyNumberFormat="1" applyFont="1" applyFill="1" applyBorder="1" applyAlignment="1">
      <alignment horizontal="center" vertical="center"/>
    </xf>
    <xf numFmtId="10" fontId="8" fillId="0" borderId="7" xfId="2" applyNumberFormat="1" applyFont="1" applyFill="1" applyBorder="1" applyAlignment="1" applyProtection="1">
      <alignment horizontal="center" vertical="center"/>
    </xf>
    <xf numFmtId="0" fontId="6" fillId="2" borderId="36" xfId="3" applyFont="1" applyFill="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9" fontId="8" fillId="11" borderId="11" xfId="2" applyFont="1" applyFill="1" applyBorder="1" applyAlignment="1" applyProtection="1">
      <alignment horizontal="center" vertical="center"/>
    </xf>
    <xf numFmtId="9" fontId="8" fillId="11" borderId="11" xfId="2" applyFont="1" applyFill="1" applyBorder="1" applyAlignment="1" applyProtection="1">
      <alignment horizontal="center" vertical="center"/>
      <protection locked="0"/>
    </xf>
    <xf numFmtId="0" fontId="9" fillId="11" borderId="7" xfId="2" applyNumberFormat="1" applyFont="1" applyFill="1" applyBorder="1" applyAlignment="1" applyProtection="1">
      <alignment horizontal="center" vertical="center"/>
    </xf>
    <xf numFmtId="10" fontId="0" fillId="0" borderId="0" xfId="2" applyNumberFormat="1" applyFont="1" applyBorder="1" applyAlignment="1">
      <alignment horizontal="center" vertical="center"/>
    </xf>
    <xf numFmtId="164" fontId="8" fillId="0" borderId="24" xfId="1" applyFont="1" applyBorder="1" applyAlignment="1">
      <alignment vertical="center" wrapText="1"/>
    </xf>
    <xf numFmtId="9" fontId="8" fillId="11" borderId="7" xfId="2" applyFont="1" applyFill="1" applyBorder="1" applyAlignment="1" applyProtection="1">
      <alignment horizontal="center" vertical="center" wrapText="1"/>
      <protection locked="0"/>
    </xf>
    <xf numFmtId="9" fontId="8" fillId="15" borderId="7" xfId="2" applyFont="1" applyFill="1" applyBorder="1" applyAlignment="1" applyProtection="1">
      <alignment horizontal="center" vertical="center" wrapText="1"/>
      <protection locked="0"/>
    </xf>
    <xf numFmtId="1" fontId="8" fillId="11" borderId="7" xfId="3" applyNumberFormat="1" applyFont="1" applyFill="1" applyBorder="1" applyAlignment="1" applyProtection="1">
      <alignment horizontal="center" vertical="center" wrapText="1"/>
      <protection locked="0"/>
    </xf>
    <xf numFmtId="9" fontId="9" fillId="11" borderId="7" xfId="2" applyFont="1" applyFill="1" applyBorder="1" applyAlignment="1" applyProtection="1">
      <alignment horizontal="center" vertical="center" wrapText="1"/>
    </xf>
    <xf numFmtId="9" fontId="9" fillId="9" borderId="7" xfId="2" applyFont="1" applyFill="1" applyBorder="1" applyAlignment="1" applyProtection="1">
      <alignment horizontal="center" vertical="center" wrapText="1"/>
    </xf>
    <xf numFmtId="9" fontId="8" fillId="9" borderId="11" xfId="2" applyFont="1" applyFill="1" applyBorder="1" applyAlignment="1" applyProtection="1">
      <alignment horizontal="center" vertical="center"/>
      <protection locked="0"/>
    </xf>
    <xf numFmtId="10" fontId="8" fillId="0" borderId="7" xfId="2" applyNumberFormat="1" applyFont="1" applyFill="1" applyBorder="1" applyAlignment="1" applyProtection="1">
      <alignment horizontal="center" vertical="center" wrapText="1"/>
    </xf>
    <xf numFmtId="164" fontId="8" fillId="0" borderId="31" xfId="1" applyFont="1" applyFill="1" applyBorder="1" applyAlignment="1" applyProtection="1">
      <alignment horizontal="center" vertical="center"/>
    </xf>
    <xf numFmtId="165" fontId="3" fillId="0" borderId="7" xfId="0" applyNumberFormat="1" applyFont="1" applyBorder="1" applyAlignment="1">
      <alignment horizontal="center"/>
    </xf>
    <xf numFmtId="0" fontId="9" fillId="0" borderId="7" xfId="0" applyFont="1" applyFill="1" applyBorder="1" applyAlignment="1" applyProtection="1">
      <alignment vertical="center" wrapText="1"/>
      <protection locked="0"/>
    </xf>
    <xf numFmtId="0" fontId="9" fillId="0" borderId="13" xfId="0" applyFont="1" applyFill="1" applyBorder="1" applyAlignment="1" applyProtection="1">
      <alignment horizontal="center" vertical="center" wrapText="1"/>
      <protection locked="0"/>
    </xf>
    <xf numFmtId="0" fontId="0" fillId="0" borderId="7" xfId="0" applyFill="1" applyBorder="1" applyAlignment="1">
      <alignment vertical="center" wrapText="1"/>
    </xf>
    <xf numFmtId="0" fontId="0" fillId="0" borderId="13" xfId="0" applyFill="1" applyBorder="1"/>
    <xf numFmtId="0" fontId="0" fillId="0" borderId="11" xfId="0" applyFill="1" applyBorder="1"/>
    <xf numFmtId="9" fontId="9" fillId="0" borderId="21" xfId="2" applyFont="1" applyFill="1" applyBorder="1" applyAlignment="1" applyProtection="1">
      <alignment horizontal="center" vertical="center"/>
      <protection locked="0"/>
    </xf>
    <xf numFmtId="0" fontId="9" fillId="0" borderId="21" xfId="0" applyFont="1" applyFill="1" applyBorder="1" applyAlignment="1" applyProtection="1">
      <alignment wrapText="1"/>
      <protection locked="0"/>
    </xf>
    <xf numFmtId="0" fontId="0" fillId="0" borderId="22" xfId="0" applyFill="1" applyBorder="1"/>
    <xf numFmtId="0" fontId="9" fillId="0" borderId="38" xfId="0" applyFont="1" applyFill="1" applyBorder="1" applyAlignment="1" applyProtection="1">
      <alignment horizontal="center" vertical="center" wrapText="1"/>
      <protection locked="0"/>
    </xf>
    <xf numFmtId="9" fontId="8" fillId="0" borderId="48" xfId="2" applyFont="1" applyFill="1" applyBorder="1" applyAlignment="1" applyProtection="1">
      <alignment horizontal="center" vertical="center"/>
      <protection locked="0"/>
    </xf>
    <xf numFmtId="0" fontId="8" fillId="0" borderId="45" xfId="3" applyFont="1" applyFill="1" applyBorder="1" applyAlignment="1" applyProtection="1">
      <alignment horizontal="center" vertical="center" wrapText="1"/>
      <protection locked="0"/>
    </xf>
    <xf numFmtId="9" fontId="14" fillId="0" borderId="11" xfId="2" applyFont="1" applyBorder="1" applyAlignment="1">
      <alignment horizontal="center" vertical="center" wrapText="1"/>
    </xf>
    <xf numFmtId="0" fontId="14" fillId="0" borderId="11" xfId="3" applyFont="1" applyBorder="1" applyAlignment="1">
      <alignment horizontal="center" vertical="center" wrapText="1"/>
    </xf>
    <xf numFmtId="0" fontId="14" fillId="0" borderId="42" xfId="3" applyFont="1" applyBorder="1" applyAlignment="1">
      <alignment horizontal="center" vertical="center" wrapText="1"/>
    </xf>
    <xf numFmtId="0" fontId="8" fillId="0" borderId="7" xfId="5" applyFont="1" applyFill="1" applyBorder="1" applyAlignment="1">
      <alignment horizontal="center" vertical="center" wrapText="1"/>
    </xf>
    <xf numFmtId="0" fontId="8" fillId="0" borderId="15" xfId="5" applyFont="1" applyFill="1" applyBorder="1" applyAlignment="1">
      <alignment horizontal="center" vertical="center" wrapText="1"/>
    </xf>
    <xf numFmtId="10" fontId="14" fillId="0" borderId="15" xfId="0" applyNumberFormat="1" applyFont="1" applyBorder="1" applyAlignment="1" applyProtection="1">
      <alignment horizontal="center"/>
      <protection locked="0"/>
    </xf>
    <xf numFmtId="0" fontId="8" fillId="0" borderId="7" xfId="0" applyFont="1" applyBorder="1" applyAlignment="1">
      <alignment horizontal="center" vertical="center" wrapText="1"/>
    </xf>
    <xf numFmtId="9" fontId="8" fillId="12" borderId="7" xfId="3" applyNumberFormat="1" applyFont="1" applyFill="1" applyBorder="1" applyAlignment="1" applyProtection="1">
      <alignment horizontal="center" vertical="center" wrapText="1"/>
      <protection locked="0"/>
    </xf>
    <xf numFmtId="0" fontId="14" fillId="12" borderId="7" xfId="3" applyFont="1" applyFill="1" applyBorder="1" applyAlignment="1">
      <alignment horizontal="center" vertical="center" wrapText="1"/>
    </xf>
    <xf numFmtId="0" fontId="9" fillId="12" borderId="7" xfId="0" applyFont="1" applyFill="1" applyBorder="1" applyAlignment="1">
      <alignment vertical="center" wrapText="1"/>
    </xf>
    <xf numFmtId="0" fontId="8" fillId="12" borderId="7" xfId="0" applyFont="1" applyFill="1" applyBorder="1" applyAlignment="1">
      <alignment horizontal="center" vertical="center" wrapText="1"/>
    </xf>
    <xf numFmtId="9" fontId="0" fillId="0" borderId="7" xfId="2" applyFont="1" applyFill="1" applyBorder="1" applyAlignment="1">
      <alignment horizontal="center"/>
    </xf>
    <xf numFmtId="9" fontId="0" fillId="0" borderId="7" xfId="2" applyFont="1" applyFill="1" applyBorder="1"/>
    <xf numFmtId="164" fontId="0" fillId="0" borderId="7" xfId="2" applyNumberFormat="1" applyFont="1" applyBorder="1"/>
    <xf numFmtId="10" fontId="9" fillId="0" borderId="7" xfId="2" applyNumberFormat="1" applyFont="1" applyBorder="1" applyAlignment="1" applyProtection="1">
      <alignment horizontal="center" vertical="center"/>
      <protection locked="0"/>
    </xf>
    <xf numFmtId="0" fontId="8" fillId="0" borderId="7" xfId="0" applyFont="1" applyBorder="1" applyAlignment="1">
      <alignment horizontal="center" vertical="center" wrapText="1"/>
    </xf>
    <xf numFmtId="9" fontId="8" fillId="0" borderId="4" xfId="0" applyNumberFormat="1" applyFont="1" applyBorder="1" applyAlignment="1">
      <alignment horizontal="center" vertical="center" wrapText="1"/>
    </xf>
    <xf numFmtId="9" fontId="41" fillId="12" borderId="13" xfId="2" applyNumberFormat="1" applyFont="1" applyFill="1" applyBorder="1" applyAlignment="1">
      <alignment horizontal="center" vertical="center"/>
    </xf>
    <xf numFmtId="0" fontId="14" fillId="0" borderId="11" xfId="3" applyFont="1" applyBorder="1" applyAlignment="1">
      <alignment horizontal="center" vertical="center" wrapText="1"/>
    </xf>
    <xf numFmtId="0" fontId="9" fillId="0" borderId="11" xfId="3" applyFont="1" applyBorder="1" applyAlignment="1">
      <alignment horizontal="center" vertical="center" wrapText="1"/>
    </xf>
    <xf numFmtId="0" fontId="9" fillId="0" borderId="42" xfId="3" applyFont="1" applyBorder="1" applyAlignment="1">
      <alignment horizontal="center" vertical="center" wrapText="1"/>
    </xf>
    <xf numFmtId="0" fontId="6" fillId="2" borderId="11" xfId="3" applyFont="1" applyFill="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8" fillId="0" borderId="14" xfId="3" applyFont="1" applyBorder="1" applyAlignment="1" applyProtection="1">
      <alignment vertical="center" wrapText="1"/>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0" fillId="0" borderId="0" xfId="0" applyAlignment="1">
      <alignment horizontal="center"/>
    </xf>
    <xf numFmtId="0" fontId="7" fillId="6" borderId="14" xfId="0" applyFont="1" applyFill="1" applyBorder="1" applyAlignment="1" applyProtection="1">
      <alignment horizontal="center" vertical="center" wrapText="1"/>
      <protection locked="0"/>
    </xf>
    <xf numFmtId="0" fontId="7" fillId="6" borderId="12" xfId="0" applyFont="1" applyFill="1" applyBorder="1" applyAlignment="1" applyProtection="1">
      <alignment horizontal="center" vertical="center" wrapText="1"/>
      <protection locked="0"/>
    </xf>
    <xf numFmtId="0" fontId="7" fillId="6" borderId="13" xfId="0" applyFont="1" applyFill="1" applyBorder="1" applyAlignment="1" applyProtection="1">
      <alignment horizontal="center" vertical="center" wrapText="1"/>
      <protection locked="0"/>
    </xf>
    <xf numFmtId="0" fontId="6" fillId="2" borderId="11" xfId="3" applyFont="1" applyFill="1" applyBorder="1" applyAlignment="1" applyProtection="1">
      <alignment horizontal="center" vertical="center" wrapText="1"/>
      <protection locked="0"/>
    </xf>
    <xf numFmtId="0" fontId="6" fillId="2" borderId="15" xfId="3" applyFont="1" applyFill="1" applyBorder="1" applyAlignment="1" applyProtection="1">
      <alignment horizontal="center" vertical="center" wrapText="1"/>
      <protection locked="0"/>
    </xf>
    <xf numFmtId="0" fontId="8" fillId="0" borderId="11" xfId="3" applyFont="1" applyFill="1" applyBorder="1" applyAlignment="1" applyProtection="1">
      <alignment horizontal="center" vertical="center" wrapText="1"/>
      <protection locked="0"/>
    </xf>
    <xf numFmtId="0" fontId="8" fillId="0" borderId="16" xfId="3" applyFont="1" applyFill="1" applyBorder="1" applyAlignment="1" applyProtection="1">
      <alignment horizontal="center" vertical="center" wrapText="1"/>
      <protection locked="0"/>
    </xf>
    <xf numFmtId="0" fontId="8" fillId="0" borderId="15" xfId="3" applyFont="1" applyFill="1" applyBorder="1" applyAlignment="1" applyProtection="1">
      <alignment horizontal="center" vertical="center" wrapText="1"/>
      <protection locked="0"/>
    </xf>
    <xf numFmtId="9" fontId="6" fillId="6" borderId="12" xfId="2" applyFont="1" applyFill="1" applyBorder="1" applyAlignment="1" applyProtection="1">
      <alignment horizontal="center" vertical="center" wrapText="1"/>
      <protection locked="0"/>
    </xf>
    <xf numFmtId="9" fontId="6" fillId="6" borderId="13" xfId="2" applyFont="1" applyFill="1" applyBorder="1" applyAlignment="1" applyProtection="1">
      <alignment horizontal="center" vertical="center" wrapText="1"/>
      <protection locked="0"/>
    </xf>
    <xf numFmtId="0" fontId="8" fillId="0" borderId="11" xfId="3" applyFont="1" applyFill="1" applyBorder="1" applyAlignment="1" applyProtection="1">
      <alignment horizontal="left" vertical="center" wrapText="1"/>
      <protection locked="0"/>
    </xf>
    <xf numFmtId="0" fontId="8" fillId="0" borderId="16" xfId="3" applyFont="1" applyFill="1" applyBorder="1" applyAlignment="1" applyProtection="1">
      <alignment horizontal="left" vertical="center" wrapText="1"/>
      <protection locked="0"/>
    </xf>
    <xf numFmtId="0" fontId="8" fillId="0" borderId="15" xfId="3" applyFont="1" applyFill="1" applyBorder="1" applyAlignment="1" applyProtection="1">
      <alignment horizontal="left" vertical="center" wrapText="1"/>
      <protection locked="0"/>
    </xf>
    <xf numFmtId="9" fontId="8" fillId="0" borderId="11" xfId="3" applyNumberFormat="1" applyFont="1" applyFill="1" applyBorder="1" applyAlignment="1" applyProtection="1">
      <alignment horizontal="center" vertical="center" wrapText="1"/>
      <protection locked="0"/>
    </xf>
    <xf numFmtId="9" fontId="8" fillId="0" borderId="16" xfId="3" applyNumberFormat="1" applyFont="1" applyFill="1" applyBorder="1" applyAlignment="1" applyProtection="1">
      <alignment horizontal="center" vertical="center" wrapText="1"/>
      <protection locked="0"/>
    </xf>
    <xf numFmtId="9" fontId="8" fillId="0" borderId="15" xfId="3" applyNumberFormat="1" applyFont="1" applyFill="1" applyBorder="1" applyAlignment="1" applyProtection="1">
      <alignment horizontal="center" vertical="center" wrapText="1"/>
      <protection locked="0"/>
    </xf>
    <xf numFmtId="0" fontId="8" fillId="0" borderId="11" xfId="4" applyFont="1" applyFill="1" applyBorder="1" applyAlignment="1" applyProtection="1">
      <alignment horizontal="left" vertical="center" wrapText="1"/>
      <protection locked="0"/>
    </xf>
    <xf numFmtId="0" fontId="8" fillId="0" borderId="16" xfId="4" applyFont="1" applyFill="1" applyBorder="1" applyAlignment="1" applyProtection="1">
      <alignment horizontal="left" vertical="center" wrapText="1"/>
      <protection locked="0"/>
    </xf>
    <xf numFmtId="0" fontId="8" fillId="0" borderId="15" xfId="4" applyFont="1" applyFill="1" applyBorder="1" applyAlignment="1" applyProtection="1">
      <alignment horizontal="left" vertical="center" wrapText="1"/>
      <protection locked="0"/>
    </xf>
    <xf numFmtId="0" fontId="11" fillId="7" borderId="14"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3" xfId="0" applyFont="1" applyFill="1" applyBorder="1" applyAlignment="1" applyProtection="1">
      <alignment horizontal="center" vertical="center"/>
      <protection locked="0"/>
    </xf>
    <xf numFmtId="0" fontId="6" fillId="0" borderId="0" xfId="0" applyFont="1" applyAlignment="1">
      <alignment horizontal="center" vertical="center"/>
    </xf>
    <xf numFmtId="0" fontId="9" fillId="0" borderId="7" xfId="0" applyFont="1" applyBorder="1" applyAlignment="1">
      <alignment horizontal="left" vertical="center"/>
    </xf>
    <xf numFmtId="0" fontId="9" fillId="0" borderId="0" xfId="0" applyFont="1" applyBorder="1" applyAlignment="1">
      <alignment horizontal="center"/>
    </xf>
    <xf numFmtId="0" fontId="9" fillId="0" borderId="7" xfId="0" applyFont="1" applyBorder="1" applyAlignment="1">
      <alignment horizontal="center" wrapText="1"/>
    </xf>
    <xf numFmtId="9" fontId="6" fillId="6" borderId="7" xfId="2" applyFont="1" applyFill="1" applyBorder="1" applyAlignment="1" applyProtection="1">
      <alignment horizontal="center" vertical="center" wrapText="1"/>
      <protection locked="0"/>
    </xf>
    <xf numFmtId="0" fontId="29" fillId="0" borderId="4" xfId="6" applyBorder="1" applyAlignment="1" applyProtection="1">
      <alignment vertical="center" wrapText="1"/>
    </xf>
    <xf numFmtId="0" fontId="29" fillId="0" borderId="7" xfId="6" applyBorder="1" applyAlignment="1" applyProtection="1">
      <alignment vertical="center" wrapText="1"/>
    </xf>
    <xf numFmtId="0" fontId="29" fillId="0" borderId="4" xfId="6" applyBorder="1" applyAlignment="1" applyProtection="1">
      <alignment horizontal="left" vertical="center" wrapText="1"/>
    </xf>
    <xf numFmtId="0" fontId="29" fillId="0" borderId="7" xfId="6" applyBorder="1" applyAlignment="1" applyProtection="1">
      <alignment horizontal="left" vertical="center" wrapText="1"/>
    </xf>
    <xf numFmtId="9" fontId="31" fillId="12" borderId="11" xfId="0" applyNumberFormat="1" applyFont="1" applyFill="1" applyBorder="1" applyAlignment="1">
      <alignment horizontal="center" vertical="center"/>
    </xf>
    <xf numFmtId="9" fontId="31" fillId="12" borderId="15" xfId="0" applyNumberFormat="1" applyFont="1" applyFill="1" applyBorder="1" applyAlignment="1">
      <alignment horizontal="center" vertical="center"/>
    </xf>
    <xf numFmtId="0" fontId="29" fillId="0" borderId="0" xfId="6" applyAlignment="1" applyProtection="1">
      <alignment vertical="center" wrapText="1"/>
    </xf>
    <xf numFmtId="0" fontId="27" fillId="14" borderId="17" xfId="0" applyFont="1" applyFill="1" applyBorder="1" applyAlignment="1">
      <alignment horizontal="center" vertical="center"/>
    </xf>
    <xf numFmtId="0" fontId="27" fillId="14" borderId="18" xfId="0" applyFont="1" applyFill="1" applyBorder="1" applyAlignment="1">
      <alignment horizontal="center" vertical="center"/>
    </xf>
    <xf numFmtId="0" fontId="27" fillId="14" borderId="19" xfId="0" applyFont="1" applyFill="1" applyBorder="1" applyAlignment="1">
      <alignment horizontal="center" vertical="center"/>
    </xf>
    <xf numFmtId="0" fontId="34" fillId="14" borderId="17" xfId="0" applyFont="1" applyFill="1" applyBorder="1" applyAlignment="1">
      <alignment horizontal="center" vertical="center"/>
    </xf>
    <xf numFmtId="0" fontId="34" fillId="14" borderId="18" xfId="0" applyFont="1" applyFill="1" applyBorder="1" applyAlignment="1">
      <alignment horizontal="center" vertical="center"/>
    </xf>
    <xf numFmtId="0" fontId="34" fillId="14" borderId="19" xfId="0" applyFont="1" applyFill="1" applyBorder="1" applyAlignment="1">
      <alignment horizontal="center" vertical="center"/>
    </xf>
    <xf numFmtId="0" fontId="26" fillId="13" borderId="7" xfId="0" applyFont="1" applyFill="1" applyBorder="1" applyAlignment="1">
      <alignment horizontal="center"/>
    </xf>
    <xf numFmtId="0" fontId="29" fillId="0" borderId="4" xfId="6" applyBorder="1" applyAlignment="1" applyProtection="1">
      <alignment horizontal="left" wrapText="1"/>
    </xf>
    <xf numFmtId="0" fontId="29" fillId="0" borderId="7" xfId="6" applyBorder="1" applyAlignment="1" applyProtection="1">
      <alignment horizontal="left" wrapText="1"/>
    </xf>
    <xf numFmtId="0" fontId="29" fillId="0" borderId="4" xfId="6" applyBorder="1" applyAlignment="1" applyProtection="1">
      <alignment horizontal="left" vertical="top" wrapText="1"/>
    </xf>
    <xf numFmtId="0" fontId="29" fillId="0" borderId="7" xfId="6" applyBorder="1" applyAlignment="1" applyProtection="1">
      <alignment horizontal="left" vertical="top" wrapText="1"/>
    </xf>
    <xf numFmtId="0" fontId="29" fillId="0" borderId="4" xfId="6" applyBorder="1" applyAlignment="1" applyProtection="1">
      <alignment horizontal="left" vertical="center"/>
    </xf>
    <xf numFmtId="0" fontId="29" fillId="0" borderId="7" xfId="6" applyBorder="1" applyAlignment="1" applyProtection="1">
      <alignment horizontal="left" vertical="center"/>
    </xf>
    <xf numFmtId="0" fontId="19" fillId="2" borderId="11"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7" xfId="0" applyFont="1" applyFill="1" applyBorder="1" applyAlignment="1">
      <alignment horizontal="center" vertical="center" wrapText="1"/>
    </xf>
    <xf numFmtId="0" fontId="9" fillId="0" borderId="11"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10" fontId="0" fillId="0" borderId="7" xfId="2" applyNumberFormat="1" applyFont="1" applyBorder="1" applyAlignment="1">
      <alignment horizontal="center" vertical="center"/>
    </xf>
    <xf numFmtId="9" fontId="9" fillId="0" borderId="11" xfId="2" applyFont="1" applyBorder="1" applyAlignment="1" applyProtection="1">
      <alignment horizontal="center" vertical="center"/>
      <protection locked="0"/>
    </xf>
    <xf numFmtId="9" fontId="9" fillId="0" borderId="16" xfId="2" applyFont="1" applyBorder="1" applyAlignment="1" applyProtection="1">
      <alignment horizontal="center" vertical="center"/>
      <protection locked="0"/>
    </xf>
    <xf numFmtId="9" fontId="9" fillId="0" borderId="15" xfId="2" applyFont="1" applyBorder="1" applyAlignment="1" applyProtection="1">
      <alignment horizontal="center" vertical="center"/>
      <protection locked="0"/>
    </xf>
    <xf numFmtId="10" fontId="9" fillId="0" borderId="0" xfId="0" applyNumberFormat="1"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6" fillId="2" borderId="36" xfId="3" applyFont="1" applyFill="1" applyBorder="1" applyAlignment="1" applyProtection="1">
      <alignment horizontal="center" vertical="center" wrapText="1"/>
      <protection locked="0"/>
    </xf>
    <xf numFmtId="9" fontId="9" fillId="0" borderId="54" xfId="2" applyFont="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40" xfId="0" applyFont="1" applyFill="1" applyBorder="1" applyAlignment="1" applyProtection="1">
      <alignment horizontal="center" vertical="center"/>
      <protection locked="0"/>
    </xf>
    <xf numFmtId="0" fontId="16" fillId="2" borderId="47" xfId="0" applyFont="1" applyFill="1" applyBorder="1" applyAlignment="1" applyProtection="1">
      <alignment horizontal="center" vertical="center"/>
      <protection locked="0"/>
    </xf>
    <xf numFmtId="0" fontId="16" fillId="2" borderId="41" xfId="0" applyFont="1" applyFill="1" applyBorder="1" applyAlignment="1" applyProtection="1">
      <alignment horizontal="center" vertical="center"/>
      <protection locked="0"/>
    </xf>
    <xf numFmtId="0" fontId="14" fillId="0" borderId="11"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42"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49" xfId="3" applyFont="1" applyBorder="1" applyAlignment="1">
      <alignment horizontal="center" vertical="center" wrapText="1"/>
    </xf>
    <xf numFmtId="0" fontId="6" fillId="2" borderId="35" xfId="3" applyFont="1" applyFill="1" applyBorder="1" applyAlignment="1" applyProtection="1">
      <alignment horizontal="center" vertical="center" wrapText="1"/>
      <protection locked="0"/>
    </xf>
    <xf numFmtId="0" fontId="6" fillId="2" borderId="49" xfId="3" applyFont="1" applyFill="1" applyBorder="1" applyAlignment="1" applyProtection="1">
      <alignment horizontal="center" vertical="center" wrapText="1"/>
      <protection locked="0"/>
    </xf>
    <xf numFmtId="9" fontId="6" fillId="2" borderId="37" xfId="2" applyFont="1" applyFill="1" applyBorder="1" applyAlignment="1" applyProtection="1">
      <alignment horizontal="center" vertical="center" wrapText="1"/>
      <protection locked="0"/>
    </xf>
    <xf numFmtId="9" fontId="6" fillId="2" borderId="33" xfId="2" applyFont="1" applyFill="1" applyBorder="1" applyAlignment="1" applyProtection="1">
      <alignment horizontal="center" vertical="center" wrapText="1"/>
      <protection locked="0"/>
    </xf>
    <xf numFmtId="9" fontId="28" fillId="13" borderId="36" xfId="0" applyNumberFormat="1" applyFont="1" applyFill="1" applyBorder="1" applyAlignment="1">
      <alignment horizontal="center" vertical="center" wrapText="1"/>
    </xf>
    <xf numFmtId="9" fontId="28" fillId="13" borderId="15" xfId="0" applyNumberFormat="1" applyFont="1" applyFill="1" applyBorder="1" applyAlignment="1">
      <alignment horizontal="center" vertical="center" wrapText="1"/>
    </xf>
    <xf numFmtId="0" fontId="2" fillId="0" borderId="7" xfId="0" applyFont="1" applyBorder="1" applyAlignment="1" applyProtection="1">
      <alignment horizontal="center"/>
      <protection locked="0"/>
    </xf>
    <xf numFmtId="0" fontId="25" fillId="0" borderId="7" xfId="0" applyFont="1" applyFill="1" applyBorder="1" applyAlignment="1" applyProtection="1">
      <alignment horizontal="center" vertical="center"/>
      <protection locked="0"/>
    </xf>
    <xf numFmtId="9" fontId="17" fillId="0" borderId="45" xfId="2" applyFont="1" applyFill="1" applyBorder="1" applyAlignment="1" applyProtection="1">
      <alignment horizontal="center" vertical="center"/>
      <protection locked="0"/>
    </xf>
    <xf numFmtId="9" fontId="17" fillId="0" borderId="46" xfId="2" applyFont="1" applyFill="1" applyBorder="1" applyAlignment="1" applyProtection="1">
      <alignment horizontal="center" vertical="center"/>
      <protection locked="0"/>
    </xf>
    <xf numFmtId="9" fontId="16" fillId="2" borderId="24" xfId="2" applyFont="1" applyFill="1" applyBorder="1" applyAlignment="1" applyProtection="1">
      <alignment horizontal="center" vertical="center"/>
      <protection locked="0"/>
    </xf>
    <xf numFmtId="9" fontId="16" fillId="2" borderId="41" xfId="2" applyFont="1" applyFill="1" applyBorder="1" applyAlignment="1" applyProtection="1">
      <alignment horizontal="center" vertical="center"/>
      <protection locked="0"/>
    </xf>
    <xf numFmtId="9" fontId="23" fillId="2" borderId="45" xfId="2" applyNumberFormat="1" applyFont="1" applyFill="1" applyBorder="1" applyAlignment="1" applyProtection="1">
      <alignment horizontal="center" vertical="center"/>
      <protection locked="0"/>
    </xf>
    <xf numFmtId="9" fontId="23" fillId="2" borderId="52" xfId="2" applyNumberFormat="1" applyFont="1" applyFill="1" applyBorder="1" applyAlignment="1" applyProtection="1">
      <alignment horizontal="center" vertical="center"/>
      <protection locked="0"/>
    </xf>
    <xf numFmtId="9" fontId="23" fillId="2" borderId="46" xfId="2" applyNumberFormat="1"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4" xfId="0" applyFont="1" applyFill="1" applyBorder="1" applyAlignment="1" applyProtection="1">
      <alignment horizontal="center" vertical="center" wrapText="1"/>
      <protection locked="0"/>
    </xf>
    <xf numFmtId="0" fontId="6" fillId="0" borderId="43"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0" fontId="14" fillId="0" borderId="0" xfId="0" applyFont="1" applyAlignment="1">
      <alignment horizontal="center"/>
    </xf>
    <xf numFmtId="10" fontId="0" fillId="0" borderId="11" xfId="2" applyNumberFormat="1" applyFont="1" applyBorder="1" applyAlignment="1">
      <alignment horizontal="center" vertical="center"/>
    </xf>
    <xf numFmtId="10" fontId="0" fillId="0" borderId="16" xfId="2" applyNumberFormat="1" applyFont="1" applyBorder="1" applyAlignment="1">
      <alignment horizontal="center" vertical="center"/>
    </xf>
    <xf numFmtId="10" fontId="0" fillId="0" borderId="15" xfId="2" applyNumberFormat="1" applyFont="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45" xfId="3" applyFont="1" applyFill="1" applyBorder="1" applyAlignment="1" applyProtection="1">
      <alignment horizontal="center" vertical="center" wrapText="1"/>
      <protection locked="0"/>
    </xf>
    <xf numFmtId="0" fontId="8" fillId="0" borderId="52" xfId="3" applyFont="1" applyFill="1" applyBorder="1" applyAlignment="1" applyProtection="1">
      <alignment horizontal="center" vertical="center" wrapText="1"/>
      <protection locked="0"/>
    </xf>
    <xf numFmtId="0" fontId="8" fillId="0" borderId="33" xfId="3" applyFont="1" applyFill="1" applyBorder="1" applyAlignment="1" applyProtection="1">
      <alignment horizontal="center" vertical="center" wrapText="1"/>
      <protection locked="0"/>
    </xf>
    <xf numFmtId="9" fontId="8" fillId="0" borderId="14" xfId="3" applyNumberFormat="1" applyFont="1" applyFill="1" applyBorder="1" applyAlignment="1" applyProtection="1">
      <alignment horizontal="center" vertical="center" wrapText="1"/>
      <protection locked="0"/>
    </xf>
    <xf numFmtId="9" fontId="8" fillId="0" borderId="12" xfId="3" applyNumberFormat="1" applyFont="1" applyFill="1" applyBorder="1" applyAlignment="1" applyProtection="1">
      <alignment horizontal="center" vertical="center" wrapText="1"/>
      <protection locked="0"/>
    </xf>
    <xf numFmtId="9" fontId="8" fillId="0" borderId="13" xfId="3" applyNumberFormat="1" applyFont="1" applyFill="1" applyBorder="1" applyAlignment="1" applyProtection="1">
      <alignment horizontal="center" vertical="center" wrapText="1"/>
      <protection locked="0"/>
    </xf>
    <xf numFmtId="0" fontId="6" fillId="2" borderId="37" xfId="3" applyFont="1" applyFill="1" applyBorder="1" applyAlignment="1" applyProtection="1">
      <alignment horizontal="center" vertical="center" wrapText="1"/>
      <protection locked="0"/>
    </xf>
    <xf numFmtId="0" fontId="6" fillId="2" borderId="33" xfId="3" applyFont="1" applyFill="1" applyBorder="1" applyAlignment="1" applyProtection="1">
      <alignment horizontal="center" vertical="center" wrapText="1"/>
      <protection locked="0"/>
    </xf>
    <xf numFmtId="9" fontId="6" fillId="2" borderId="36" xfId="2" applyFont="1" applyFill="1" applyBorder="1" applyAlignment="1" applyProtection="1">
      <alignment horizontal="center" vertical="center" wrapText="1"/>
      <protection locked="0"/>
    </xf>
    <xf numFmtId="9" fontId="6" fillId="2" borderId="15" xfId="2" applyFont="1" applyFill="1" applyBorder="1" applyAlignment="1" applyProtection="1">
      <alignment horizontal="center" vertical="center" wrapText="1"/>
      <protection locked="0"/>
    </xf>
    <xf numFmtId="9" fontId="14" fillId="0" borderId="11" xfId="2" applyFont="1" applyBorder="1" applyAlignment="1">
      <alignment horizontal="center" vertical="center" wrapText="1"/>
    </xf>
    <xf numFmtId="9" fontId="14" fillId="0" borderId="16" xfId="2" applyFont="1" applyBorder="1" applyAlignment="1">
      <alignment horizontal="center" vertical="center" wrapText="1"/>
    </xf>
    <xf numFmtId="9" fontId="14" fillId="0" borderId="15" xfId="2" applyFont="1" applyBorder="1" applyAlignment="1">
      <alignment horizontal="center" vertical="center" wrapText="1"/>
    </xf>
    <xf numFmtId="9" fontId="9" fillId="0" borderId="7" xfId="0" applyNumberFormat="1"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7" xfId="0" applyBorder="1" applyAlignment="1">
      <alignment horizontal="left"/>
    </xf>
    <xf numFmtId="9" fontId="0" fillId="0" borderId="7" xfId="2" applyNumberFormat="1" applyFont="1" applyBorder="1" applyAlignment="1">
      <alignment horizontal="center" vertical="center"/>
    </xf>
    <xf numFmtId="0" fontId="7" fillId="7" borderId="43"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protection locked="0"/>
    </xf>
    <xf numFmtId="0" fontId="7" fillId="7" borderId="44" xfId="0" applyFont="1" applyFill="1" applyBorder="1" applyAlignment="1" applyProtection="1">
      <alignment horizontal="center" vertical="center" wrapText="1"/>
      <protection locked="0"/>
    </xf>
    <xf numFmtId="164" fontId="16" fillId="2" borderId="24" xfId="1" applyFont="1" applyFill="1" applyBorder="1" applyAlignment="1" applyProtection="1">
      <alignment horizontal="center" vertical="center"/>
      <protection locked="0"/>
    </xf>
    <xf numFmtId="164" fontId="16" fillId="2" borderId="41" xfId="1" applyFont="1" applyFill="1" applyBorder="1" applyAlignment="1" applyProtection="1">
      <alignment horizontal="center" vertical="center"/>
      <protection locked="0"/>
    </xf>
    <xf numFmtId="10"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9" fontId="16" fillId="2" borderId="7" xfId="2"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9" fontId="6" fillId="2" borderId="5" xfId="2" applyFont="1" applyFill="1" applyBorder="1" applyAlignment="1" applyProtection="1">
      <alignment horizontal="center" vertical="center" wrapText="1"/>
      <protection locked="0"/>
    </xf>
    <xf numFmtId="9" fontId="6" fillId="2" borderId="34" xfId="2" applyFont="1" applyFill="1" applyBorder="1" applyAlignment="1" applyProtection="1">
      <alignment horizontal="center" vertical="center" wrapText="1"/>
      <protection locked="0"/>
    </xf>
    <xf numFmtId="0" fontId="7" fillId="7" borderId="14" xfId="0" applyFont="1" applyFill="1" applyBorder="1" applyAlignment="1" applyProtection="1">
      <alignment horizontal="center" vertical="center" wrapText="1"/>
      <protection locked="0"/>
    </xf>
    <xf numFmtId="0" fontId="7" fillId="7" borderId="12" xfId="0" applyFont="1" applyFill="1" applyBorder="1" applyAlignment="1" applyProtection="1">
      <alignment horizontal="center" vertical="center" wrapText="1"/>
      <protection locked="0"/>
    </xf>
    <xf numFmtId="0" fontId="7" fillId="7" borderId="13" xfId="0" applyFont="1" applyFill="1" applyBorder="1" applyAlignment="1" applyProtection="1">
      <alignment horizontal="center" vertical="center" wrapText="1"/>
      <protection locked="0"/>
    </xf>
    <xf numFmtId="9" fontId="17" fillId="0" borderId="11" xfId="2" applyFont="1" applyFill="1" applyBorder="1" applyAlignment="1" applyProtection="1">
      <alignment horizontal="center" vertical="center"/>
      <protection locked="0"/>
    </xf>
    <xf numFmtId="9" fontId="17" fillId="0" borderId="15" xfId="2" applyFont="1" applyFill="1" applyBorder="1" applyAlignment="1" applyProtection="1">
      <alignment horizontal="center" vertical="center"/>
      <protection locked="0"/>
    </xf>
    <xf numFmtId="9" fontId="16" fillId="2" borderId="14" xfId="2" applyFont="1" applyFill="1" applyBorder="1" applyAlignment="1" applyProtection="1">
      <alignment horizontal="center" vertical="center"/>
      <protection locked="0"/>
    </xf>
    <xf numFmtId="9" fontId="16" fillId="2" borderId="39" xfId="2" applyFont="1" applyFill="1" applyBorder="1" applyAlignment="1" applyProtection="1">
      <alignment horizontal="center" vertical="center"/>
      <protection locked="0"/>
    </xf>
    <xf numFmtId="0" fontId="9" fillId="0" borderId="14" xfId="0" applyFont="1" applyBorder="1" applyAlignment="1" applyProtection="1">
      <alignment horizontal="left"/>
      <protection locked="0"/>
    </xf>
    <xf numFmtId="0" fontId="9" fillId="0" borderId="12" xfId="0" applyFont="1" applyBorder="1" applyAlignment="1" applyProtection="1">
      <alignment horizontal="left"/>
      <protection locked="0"/>
    </xf>
    <xf numFmtId="0" fontId="9" fillId="0" borderId="13" xfId="0" applyFont="1" applyBorder="1" applyAlignment="1" applyProtection="1">
      <alignment horizontal="left"/>
      <protection locked="0"/>
    </xf>
    <xf numFmtId="9" fontId="6" fillId="2" borderId="55" xfId="2" applyFont="1" applyFill="1" applyBorder="1" applyAlignment="1" applyProtection="1">
      <alignment horizontal="center" vertical="center" wrapText="1"/>
      <protection locked="0"/>
    </xf>
    <xf numFmtId="0" fontId="6" fillId="13" borderId="36" xfId="3" applyFont="1" applyFill="1" applyBorder="1" applyAlignment="1" applyProtection="1">
      <alignment horizontal="center" vertical="center" wrapText="1"/>
      <protection locked="0"/>
    </xf>
    <xf numFmtId="0" fontId="6" fillId="13" borderId="15" xfId="3" applyFont="1" applyFill="1" applyBorder="1" applyAlignment="1" applyProtection="1">
      <alignment horizontal="center" vertical="center" wrapText="1"/>
      <protection locked="0"/>
    </xf>
    <xf numFmtId="0" fontId="9" fillId="0" borderId="0" xfId="0" applyFont="1" applyAlignment="1" applyProtection="1">
      <alignment horizontal="left"/>
      <protection locked="0"/>
    </xf>
    <xf numFmtId="0" fontId="9" fillId="0" borderId="14"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16" borderId="14" xfId="0" applyFont="1" applyFill="1" applyBorder="1" applyAlignment="1" applyProtection="1">
      <alignment horizontal="left"/>
      <protection locked="0"/>
    </xf>
    <xf numFmtId="0" fontId="9" fillId="16" borderId="12" xfId="0" applyFont="1" applyFill="1" applyBorder="1" applyAlignment="1" applyProtection="1">
      <alignment horizontal="left"/>
      <protection locked="0"/>
    </xf>
    <xf numFmtId="0" fontId="9" fillId="16" borderId="13" xfId="0" applyFont="1" applyFill="1" applyBorder="1" applyAlignment="1" applyProtection="1">
      <alignment horizontal="left"/>
      <protection locked="0"/>
    </xf>
    <xf numFmtId="165" fontId="9" fillId="0" borderId="11" xfId="0" applyNumberFormat="1" applyFont="1" applyBorder="1" applyAlignment="1" applyProtection="1">
      <alignment horizontal="center" vertical="center"/>
      <protection locked="0"/>
    </xf>
    <xf numFmtId="165" fontId="9" fillId="0" borderId="16" xfId="0" applyNumberFormat="1" applyFont="1" applyBorder="1" applyAlignment="1" applyProtection="1">
      <alignment horizontal="center" vertical="center"/>
      <protection locked="0"/>
    </xf>
    <xf numFmtId="165" fontId="9" fillId="0" borderId="15" xfId="0" applyNumberFormat="1" applyFont="1" applyBorder="1" applyAlignment="1" applyProtection="1">
      <alignment horizontal="center" vertical="center"/>
      <protection locked="0"/>
    </xf>
    <xf numFmtId="165" fontId="9" fillId="0" borderId="7" xfId="0" applyNumberFormat="1" applyFont="1" applyBorder="1" applyAlignment="1" applyProtection="1">
      <alignment horizontal="center" vertical="center"/>
      <protection locked="0"/>
    </xf>
    <xf numFmtId="0" fontId="9" fillId="0" borderId="14" xfId="0" applyFont="1" applyFill="1" applyBorder="1" applyAlignment="1" applyProtection="1">
      <alignment horizontal="left"/>
      <protection locked="0"/>
    </xf>
    <xf numFmtId="0" fontId="9"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9" fontId="9" fillId="0" borderId="11" xfId="2" applyFont="1" applyBorder="1" applyAlignment="1">
      <alignment horizontal="center" vertical="center"/>
    </xf>
    <xf numFmtId="9" fontId="9" fillId="0" borderId="16" xfId="2" applyFont="1" applyBorder="1" applyAlignment="1">
      <alignment horizontal="center" vertical="center"/>
    </xf>
    <xf numFmtId="9" fontId="9" fillId="0" borderId="15" xfId="2" applyFont="1" applyBorder="1" applyAlignment="1">
      <alignment horizontal="center" vertical="center"/>
    </xf>
    <xf numFmtId="0" fontId="8" fillId="0" borderId="24" xfId="0" applyFont="1" applyBorder="1" applyAlignment="1">
      <alignment horizontal="center" vertical="center" wrapText="1"/>
    </xf>
    <xf numFmtId="0" fontId="9" fillId="0" borderId="16" xfId="3" applyFont="1" applyBorder="1" applyAlignment="1">
      <alignment horizontal="center" vertical="center" wrapText="1"/>
    </xf>
    <xf numFmtId="0" fontId="6" fillId="0" borderId="50" xfId="3" applyFont="1" applyBorder="1" applyAlignment="1">
      <alignment vertical="center" wrapText="1"/>
    </xf>
    <xf numFmtId="9" fontId="23" fillId="0" borderId="45" xfId="2" applyFont="1" applyFill="1" applyBorder="1" applyAlignment="1" applyProtection="1">
      <alignment horizontal="center" vertical="center"/>
      <protection locked="0"/>
    </xf>
    <xf numFmtId="9" fontId="23" fillId="0" borderId="46" xfId="2" applyFont="1" applyFill="1" applyBorder="1" applyAlignment="1" applyProtection="1">
      <alignment horizontal="center" vertical="center"/>
      <protection locked="0"/>
    </xf>
    <xf numFmtId="9" fontId="16" fillId="2" borderId="45" xfId="2" applyFont="1" applyFill="1" applyBorder="1" applyAlignment="1" applyProtection="1">
      <alignment horizontal="center" vertical="center"/>
      <protection locked="0"/>
    </xf>
    <xf numFmtId="9" fontId="16" fillId="2" borderId="46" xfId="2" applyFont="1" applyFill="1" applyBorder="1" applyAlignment="1" applyProtection="1">
      <alignment horizontal="center" vertical="center"/>
      <protection locked="0"/>
    </xf>
    <xf numFmtId="9" fontId="8" fillId="0" borderId="48" xfId="2" applyFont="1" applyFill="1" applyBorder="1" applyAlignment="1" applyProtection="1">
      <alignment horizontal="center" vertical="center" wrapText="1"/>
      <protection locked="0"/>
    </xf>
    <xf numFmtId="9" fontId="8" fillId="0" borderId="12" xfId="2" applyFont="1" applyFill="1" applyBorder="1" applyAlignment="1" applyProtection="1">
      <alignment horizontal="center" vertical="center" wrapText="1"/>
      <protection locked="0"/>
    </xf>
    <xf numFmtId="9" fontId="8" fillId="0" borderId="13" xfId="2" applyFont="1" applyFill="1" applyBorder="1" applyAlignment="1" applyProtection="1">
      <alignment horizontal="center" vertical="center" wrapText="1"/>
      <protection locked="0"/>
    </xf>
    <xf numFmtId="0" fontId="9" fillId="0" borderId="53" xfId="0" applyFont="1" applyBorder="1" applyAlignment="1" applyProtection="1">
      <alignment horizontal="center" wrapText="1"/>
      <protection locked="0"/>
    </xf>
    <xf numFmtId="0" fontId="9" fillId="0" borderId="39" xfId="0" applyFont="1" applyBorder="1" applyAlignment="1" applyProtection="1">
      <alignment horizontal="center" wrapText="1"/>
      <protection locked="0"/>
    </xf>
    <xf numFmtId="9" fontId="16" fillId="2" borderId="51" xfId="2" applyFont="1" applyFill="1" applyBorder="1" applyAlignment="1" applyProtection="1">
      <alignment horizontal="center" vertical="center"/>
      <protection locked="0"/>
    </xf>
    <xf numFmtId="9" fontId="9" fillId="0" borderId="7" xfId="3" applyNumberFormat="1" applyFont="1" applyBorder="1" applyAlignment="1">
      <alignment horizontal="center" vertical="center" wrapText="1"/>
    </xf>
    <xf numFmtId="0" fontId="9" fillId="0" borderId="7" xfId="3" applyFont="1" applyBorder="1" applyAlignment="1">
      <alignment horizontal="center" vertical="center" wrapText="1"/>
    </xf>
    <xf numFmtId="0" fontId="9" fillId="0" borderId="61" xfId="3" applyFont="1" applyBorder="1" applyAlignment="1">
      <alignment horizontal="center" vertical="center" wrapText="1"/>
    </xf>
    <xf numFmtId="0" fontId="9" fillId="0" borderId="23" xfId="3" applyFont="1" applyBorder="1" applyAlignment="1">
      <alignment horizontal="center" vertical="center" wrapText="1"/>
    </xf>
    <xf numFmtId="0" fontId="9" fillId="0" borderId="62" xfId="3" applyFont="1" applyBorder="1" applyAlignment="1">
      <alignment horizontal="center" vertical="center" wrapText="1"/>
    </xf>
    <xf numFmtId="9" fontId="8" fillId="0" borderId="48" xfId="2" applyFont="1" applyFill="1" applyBorder="1" applyAlignment="1" applyProtection="1">
      <alignment horizontal="center" vertical="center"/>
      <protection locked="0"/>
    </xf>
    <xf numFmtId="9" fontId="8" fillId="0" borderId="12" xfId="2" applyFont="1" applyFill="1" applyBorder="1" applyAlignment="1" applyProtection="1">
      <alignment horizontal="center" vertical="center"/>
      <protection locked="0"/>
    </xf>
    <xf numFmtId="9" fontId="8" fillId="0" borderId="13" xfId="2" applyFont="1" applyFill="1" applyBorder="1" applyAlignment="1" applyProtection="1">
      <alignment horizontal="center" vertical="center"/>
      <protection locked="0"/>
    </xf>
    <xf numFmtId="0" fontId="8" fillId="0" borderId="52" xfId="0" applyFont="1" applyBorder="1" applyAlignment="1">
      <alignment horizontal="center" vertical="center" wrapText="1"/>
    </xf>
    <xf numFmtId="0" fontId="6" fillId="2" borderId="55" xfId="3" applyFont="1" applyFill="1" applyBorder="1" applyAlignment="1" applyProtection="1">
      <alignment horizontal="center" vertical="center" wrapText="1"/>
      <protection locked="0"/>
    </xf>
    <xf numFmtId="0" fontId="6" fillId="2" borderId="34" xfId="3" applyFont="1" applyFill="1" applyBorder="1" applyAlignment="1" applyProtection="1">
      <alignment horizontal="center" vertical="center" wrapText="1"/>
      <protection locked="0"/>
    </xf>
    <xf numFmtId="9" fontId="16" fillId="0" borderId="45" xfId="2" applyFont="1" applyFill="1" applyBorder="1" applyAlignment="1" applyProtection="1">
      <alignment horizontal="center" vertical="center"/>
      <protection locked="0"/>
    </xf>
    <xf numFmtId="9" fontId="16" fillId="0" borderId="46" xfId="2" applyFont="1" applyFill="1" applyBorder="1" applyAlignment="1" applyProtection="1">
      <alignment horizontal="center" vertical="center"/>
      <protection locked="0"/>
    </xf>
    <xf numFmtId="0" fontId="6" fillId="0" borderId="42" xfId="3" applyFont="1" applyBorder="1" applyAlignment="1">
      <alignment vertical="center" wrapText="1"/>
    </xf>
    <xf numFmtId="0" fontId="9" fillId="0" borderId="11" xfId="3" applyFont="1" applyBorder="1" applyAlignment="1">
      <alignment horizontal="center" vertical="center" wrapText="1"/>
    </xf>
    <xf numFmtId="0" fontId="8" fillId="0" borderId="45" xfId="5" applyFont="1" applyBorder="1" applyAlignment="1">
      <alignment horizontal="center" vertical="center" wrapText="1"/>
    </xf>
    <xf numFmtId="0" fontId="8" fillId="0" borderId="52" xfId="5" applyFont="1" applyBorder="1" applyAlignment="1">
      <alignment horizontal="center" vertical="center" wrapText="1"/>
    </xf>
    <xf numFmtId="0" fontId="8" fillId="0" borderId="33" xfId="5" applyFont="1" applyBorder="1" applyAlignment="1">
      <alignment horizontal="center" vertical="center" wrapText="1"/>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9" fontId="0" fillId="0" borderId="7" xfId="2" applyFont="1" applyBorder="1" applyAlignment="1">
      <alignment horizontal="center" vertical="center"/>
    </xf>
    <xf numFmtId="9" fontId="0" fillId="0" borderId="7" xfId="0" applyNumberFormat="1" applyBorder="1" applyAlignment="1">
      <alignment horizontal="center" vertical="center"/>
    </xf>
    <xf numFmtId="9" fontId="0" fillId="0" borderId="0" xfId="2" applyFont="1" applyBorder="1" applyAlignment="1">
      <alignment horizontal="center" vertical="center"/>
    </xf>
    <xf numFmtId="0" fontId="9" fillId="0" borderId="42" xfId="3" applyFont="1" applyBorder="1" applyAlignment="1">
      <alignment horizontal="center" vertical="center" wrapText="1"/>
    </xf>
    <xf numFmtId="0" fontId="9" fillId="0" borderId="50" xfId="3" applyFont="1" applyBorder="1" applyAlignment="1">
      <alignment horizontal="center" vertical="center" wrapText="1"/>
    </xf>
    <xf numFmtId="0" fontId="9" fillId="0" borderId="49" xfId="3" applyFont="1" applyBorder="1" applyAlignment="1">
      <alignment horizontal="center" vertical="center" wrapText="1"/>
    </xf>
    <xf numFmtId="0" fontId="9" fillId="0" borderId="15" xfId="3" applyFont="1" applyBorder="1" applyAlignment="1">
      <alignment horizontal="center" vertical="center" wrapText="1"/>
    </xf>
    <xf numFmtId="0" fontId="6" fillId="2" borderId="5" xfId="3" applyFont="1" applyFill="1" applyBorder="1" applyAlignment="1" applyProtection="1">
      <alignment horizontal="center" vertical="center" wrapText="1"/>
      <protection locked="0"/>
    </xf>
    <xf numFmtId="9" fontId="14" fillId="0" borderId="11" xfId="2" applyFont="1" applyBorder="1" applyAlignment="1">
      <alignment horizontal="center" vertical="center"/>
    </xf>
    <xf numFmtId="9" fontId="14" fillId="0" borderId="16" xfId="2" applyFont="1" applyBorder="1" applyAlignment="1">
      <alignment horizontal="center" vertical="center"/>
    </xf>
    <xf numFmtId="9" fontId="6" fillId="2" borderId="11" xfId="2"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protection locked="0"/>
    </xf>
    <xf numFmtId="0" fontId="16" fillId="2" borderId="14" xfId="0" applyFont="1" applyFill="1" applyBorder="1" applyAlignment="1" applyProtection="1">
      <alignment horizontal="center" vertical="center"/>
      <protection locked="0"/>
    </xf>
    <xf numFmtId="0" fontId="0" fillId="0" borderId="14" xfId="0" applyFill="1" applyBorder="1" applyAlignment="1">
      <alignment horizontal="left"/>
    </xf>
    <xf numFmtId="0" fontId="0" fillId="0" borderId="12" xfId="0" applyFill="1" applyBorder="1" applyAlignment="1">
      <alignment horizontal="left"/>
    </xf>
    <xf numFmtId="0" fontId="0" fillId="0" borderId="13" xfId="0" applyFill="1" applyBorder="1" applyAlignment="1">
      <alignment horizontal="left"/>
    </xf>
    <xf numFmtId="0" fontId="9" fillId="0" borderId="42" xfId="3" applyFont="1" applyBorder="1" applyAlignment="1">
      <alignment vertical="center" wrapText="1"/>
    </xf>
    <xf numFmtId="0" fontId="9" fillId="0" borderId="50" xfId="3" applyFont="1" applyBorder="1" applyAlignment="1">
      <alignment vertical="center" wrapText="1"/>
    </xf>
    <xf numFmtId="9" fontId="23" fillId="2" borderId="24" xfId="2" applyFont="1" applyFill="1" applyBorder="1" applyAlignment="1" applyProtection="1">
      <alignment horizontal="center" vertical="center"/>
      <protection locked="0"/>
    </xf>
    <xf numFmtId="9" fontId="23" fillId="2" borderId="41" xfId="2" applyFont="1" applyFill="1" applyBorder="1" applyAlignment="1" applyProtection="1">
      <alignment horizontal="center" vertical="center"/>
      <protection locked="0"/>
    </xf>
    <xf numFmtId="9" fontId="44" fillId="2" borderId="45" xfId="2" applyFont="1" applyFill="1" applyBorder="1" applyAlignment="1" applyProtection="1">
      <alignment horizontal="center" vertical="center"/>
      <protection locked="0"/>
    </xf>
    <xf numFmtId="9" fontId="44" fillId="2" borderId="46" xfId="2" applyFont="1" applyFill="1" applyBorder="1" applyAlignment="1" applyProtection="1">
      <alignment horizontal="center" vertical="center"/>
      <protection locked="0"/>
    </xf>
    <xf numFmtId="0" fontId="16" fillId="2" borderId="53" xfId="0" applyFont="1" applyFill="1" applyBorder="1" applyAlignment="1" applyProtection="1">
      <alignment horizontal="center" vertical="center"/>
      <protection locked="0"/>
    </xf>
    <xf numFmtId="0" fontId="16" fillId="2" borderId="54" xfId="0" applyFont="1" applyFill="1" applyBorder="1" applyAlignment="1" applyProtection="1">
      <alignment horizontal="center" vertical="center"/>
      <protection locked="0"/>
    </xf>
    <xf numFmtId="9" fontId="23" fillId="2" borderId="45" xfId="2" applyFont="1" applyFill="1" applyBorder="1" applyAlignment="1" applyProtection="1">
      <alignment horizontal="center" vertical="center"/>
      <protection locked="0"/>
    </xf>
    <xf numFmtId="9" fontId="23" fillId="2" borderId="46" xfId="2" applyFont="1" applyFill="1" applyBorder="1" applyAlignment="1" applyProtection="1">
      <alignment horizontal="center" vertical="center"/>
      <protection locked="0"/>
    </xf>
    <xf numFmtId="0" fontId="6" fillId="13" borderId="56" xfId="3" applyFont="1" applyFill="1" applyBorder="1" applyAlignment="1" applyProtection="1">
      <alignment horizontal="center" vertical="center" wrapText="1"/>
      <protection locked="0"/>
    </xf>
    <xf numFmtId="0" fontId="6" fillId="13" borderId="32" xfId="3" applyFont="1" applyFill="1" applyBorder="1" applyAlignment="1" applyProtection="1">
      <alignment horizontal="center" vertical="center" wrapText="1"/>
      <protection locked="0"/>
    </xf>
    <xf numFmtId="167" fontId="16" fillId="2" borderId="24" xfId="1" applyNumberFormat="1" applyFont="1" applyFill="1" applyBorder="1" applyAlignment="1" applyProtection="1">
      <alignment horizontal="center" vertical="center"/>
      <protection locked="0"/>
    </xf>
    <xf numFmtId="167" fontId="16" fillId="2" borderId="41" xfId="1" applyNumberFormat="1" applyFont="1" applyFill="1" applyBorder="1" applyAlignment="1" applyProtection="1">
      <alignment horizontal="center" vertical="center"/>
      <protection locked="0"/>
    </xf>
    <xf numFmtId="9" fontId="0" fillId="0" borderId="0" xfId="0" applyNumberFormat="1" applyBorder="1" applyAlignment="1">
      <alignment horizontal="center" vertical="center"/>
    </xf>
    <xf numFmtId="0" fontId="0" fillId="0" borderId="0" xfId="0" applyBorder="1" applyAlignment="1">
      <alignment horizontal="center" vertical="center"/>
    </xf>
    <xf numFmtId="0" fontId="8" fillId="0" borderId="45" xfId="0" applyFont="1" applyBorder="1" applyAlignment="1">
      <alignment horizontal="center" vertical="center" wrapText="1"/>
    </xf>
    <xf numFmtId="0" fontId="8" fillId="0" borderId="33" xfId="0" applyFont="1" applyBorder="1" applyAlignment="1">
      <alignment horizontal="center" vertical="center" wrapText="1"/>
    </xf>
    <xf numFmtId="0" fontId="16" fillId="2" borderId="39" xfId="0" applyFont="1" applyFill="1" applyBorder="1" applyAlignment="1" applyProtection="1">
      <alignment horizontal="center" vertical="center"/>
      <protection locked="0"/>
    </xf>
    <xf numFmtId="9" fontId="9" fillId="0" borderId="11" xfId="2" applyFont="1" applyBorder="1" applyAlignment="1">
      <alignment horizontal="center" vertical="center" wrapText="1"/>
    </xf>
    <xf numFmtId="9" fontId="9" fillId="0" borderId="16" xfId="2" applyFont="1" applyBorder="1" applyAlignment="1">
      <alignment horizontal="center" vertical="center" wrapText="1"/>
    </xf>
    <xf numFmtId="0" fontId="8" fillId="0" borderId="7" xfId="0" applyFont="1" applyBorder="1" applyAlignment="1">
      <alignment horizontal="center" vertical="center" wrapText="1"/>
    </xf>
    <xf numFmtId="0" fontId="38" fillId="2" borderId="37" xfId="3" applyFont="1" applyFill="1" applyBorder="1" applyAlignment="1" applyProtection="1">
      <alignment horizontal="center" vertical="center" wrapText="1"/>
      <protection locked="0"/>
    </xf>
    <xf numFmtId="0" fontId="38" fillId="2" borderId="33" xfId="3" applyFont="1" applyFill="1" applyBorder="1" applyAlignment="1" applyProtection="1">
      <alignment horizontal="center" vertical="center" wrapText="1"/>
      <protection locked="0"/>
    </xf>
    <xf numFmtId="0" fontId="38" fillId="2" borderId="36" xfId="3" applyFont="1" applyFill="1" applyBorder="1" applyAlignment="1" applyProtection="1">
      <alignment horizontal="center" vertical="center" wrapText="1"/>
      <protection locked="0"/>
    </xf>
    <xf numFmtId="0" fontId="38" fillId="2" borderId="15" xfId="3" applyFont="1" applyFill="1" applyBorder="1" applyAlignment="1" applyProtection="1">
      <alignment horizontal="center" vertical="center" wrapText="1"/>
      <protection locked="0"/>
    </xf>
    <xf numFmtId="0" fontId="16" fillId="2" borderId="24" xfId="1" applyNumberFormat="1" applyFont="1" applyFill="1" applyBorder="1" applyAlignment="1" applyProtection="1">
      <alignment horizontal="center" vertical="center"/>
      <protection locked="0"/>
    </xf>
    <xf numFmtId="0" fontId="16" fillId="2" borderId="41" xfId="1" applyNumberFormat="1" applyFont="1" applyFill="1" applyBorder="1" applyAlignment="1" applyProtection="1">
      <alignment horizontal="center" vertical="center"/>
      <protection locked="0"/>
    </xf>
    <xf numFmtId="167" fontId="16" fillId="2" borderId="51" xfId="1" applyNumberFormat="1" applyFont="1" applyFill="1" applyBorder="1" applyAlignment="1" applyProtection="1">
      <alignment horizontal="center" vertical="center"/>
      <protection locked="0"/>
    </xf>
    <xf numFmtId="167" fontId="16" fillId="2" borderId="39" xfId="1" applyNumberFormat="1" applyFont="1" applyFill="1" applyBorder="1" applyAlignment="1" applyProtection="1">
      <alignment horizontal="center" vertical="center"/>
      <protection locked="0"/>
    </xf>
  </cellXfs>
  <cellStyles count="7">
    <cellStyle name="Hipervínculo" xfId="6" builtinId="8"/>
    <cellStyle name="Millares" xfId="1" builtinId="3"/>
    <cellStyle name="Normal" xfId="0" builtinId="0"/>
    <cellStyle name="Normal 2" xfId="3" xr:uid="{00000000-0005-0000-0000-000003000000}"/>
    <cellStyle name="Normal 2 2" xfId="4" xr:uid="{00000000-0005-0000-0000-000004000000}"/>
    <cellStyle name="Normal 4" xfId="5" xr:uid="{00000000-0005-0000-0000-000005000000}"/>
    <cellStyle name="Porcentaje" xfId="2" builtinId="5"/>
  </cellStyles>
  <dxfs count="105">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CAC0DA"/>
      <color rgb="FFD9D2E4"/>
      <color rgb="FFAFEAFF"/>
      <color rgb="FF79DCFF"/>
      <color rgb="FFCC99FF"/>
      <color rgb="FFFF99FF"/>
      <color rgb="FF53D2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1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1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1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2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2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OGRAMAS ESTRATEGICOS'!A1"/><Relationship Id="rId1" Type="http://schemas.openxmlformats.org/officeDocument/2006/relationships/image" Target="../media/image3.jpe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10</xdr:col>
      <xdr:colOff>150799</xdr:colOff>
      <xdr:row>6</xdr:row>
      <xdr:rowOff>161925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srcRect b="4028"/>
        <a:stretch/>
      </xdr:blipFill>
      <xdr:spPr>
        <a:xfrm>
          <a:off x="0" y="400050"/>
          <a:ext cx="12809524" cy="904875"/>
        </a:xfrm>
        <a:prstGeom prst="rect">
          <a:avLst/>
        </a:prstGeom>
      </xdr:spPr>
    </xdr:pic>
    <xdr:clientData/>
  </xdr:twoCellAnchor>
  <xdr:twoCellAnchor editAs="oneCell">
    <xdr:from>
      <xdr:col>0</xdr:col>
      <xdr:colOff>0</xdr:colOff>
      <xdr:row>29</xdr:row>
      <xdr:rowOff>123826</xdr:rowOff>
    </xdr:from>
    <xdr:to>
      <xdr:col>2</xdr:col>
      <xdr:colOff>29510</xdr:colOff>
      <xdr:row>35</xdr:row>
      <xdr:rowOff>0</xdr:rowOff>
    </xdr:to>
    <xdr:pic>
      <xdr:nvPicPr>
        <xdr:cNvPr id="6" name="Imagen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01026"/>
          <a:ext cx="6592235" cy="847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72</xdr:col>
      <xdr:colOff>1627910</xdr:colOff>
      <xdr:row>0</xdr:row>
      <xdr:rowOff>138546</xdr:rowOff>
    </xdr:from>
    <xdr:to>
      <xdr:col>74</xdr:col>
      <xdr:colOff>277092</xdr:colOff>
      <xdr:row>1</xdr:row>
      <xdr:rowOff>389656</xdr:rowOff>
    </xdr:to>
    <xdr:pic>
      <xdr:nvPicPr>
        <xdr:cNvPr id="2" name="Imagen 8">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44735" y="138546"/>
          <a:ext cx="2192482"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136072</xdr:colOff>
      <xdr:row>1</xdr:row>
      <xdr:rowOff>163285</xdr:rowOff>
    </xdr:from>
    <xdr:to>
      <xdr:col>2</xdr:col>
      <xdr:colOff>2068286</xdr:colOff>
      <xdr:row>2</xdr:row>
      <xdr:rowOff>319388</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10643" y="1129392"/>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11.xml><?xml version="1.0" encoding="utf-8"?>
<xdr:wsDr xmlns:xdr="http://schemas.openxmlformats.org/drawingml/2006/spreadsheetDrawing" xmlns:a="http://schemas.openxmlformats.org/drawingml/2006/main">
  <xdr:twoCellAnchor>
    <xdr:from>
      <xdr:col>35</xdr:col>
      <xdr:colOff>1627910</xdr:colOff>
      <xdr:row>0</xdr:row>
      <xdr:rowOff>138546</xdr:rowOff>
    </xdr:from>
    <xdr:to>
      <xdr:col>37</xdr:col>
      <xdr:colOff>277092</xdr:colOff>
      <xdr:row>1</xdr:row>
      <xdr:rowOff>389656</xdr:rowOff>
    </xdr:to>
    <xdr:pic>
      <xdr:nvPicPr>
        <xdr:cNvPr id="2" name="Imagen 8">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41785" y="138546"/>
          <a:ext cx="1039957" cy="241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81645</xdr:colOff>
      <xdr:row>1</xdr:row>
      <xdr:rowOff>190499</xdr:rowOff>
    </xdr:from>
    <xdr:to>
      <xdr:col>2</xdr:col>
      <xdr:colOff>2013859</xdr:colOff>
      <xdr:row>2</xdr:row>
      <xdr:rowOff>346602</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456216" y="1156606"/>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12.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70235" y="138546"/>
          <a:ext cx="1039957" cy="241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142875</xdr:colOff>
      <xdr:row>1</xdr:row>
      <xdr:rowOff>154781</xdr:rowOff>
    </xdr:from>
    <xdr:to>
      <xdr:col>2</xdr:col>
      <xdr:colOff>2075089</xdr:colOff>
      <xdr:row>2</xdr:row>
      <xdr:rowOff>317688</xdr:rowOff>
    </xdr:to>
    <xdr:pic>
      <xdr:nvPicPr>
        <xdr:cNvPr id="5" name="Imagen 4">
          <a:hlinkClick xmlns:r="http://schemas.openxmlformats.org/officeDocument/2006/relationships" r:id="rId2"/>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12344" y="1119187"/>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13.xml><?xml version="1.0" encoding="utf-8"?>
<xdr:wsDr xmlns:xdr="http://schemas.openxmlformats.org/drawingml/2006/spreadsheetDrawing" xmlns:a="http://schemas.openxmlformats.org/drawingml/2006/main">
  <xdr:twoCellAnchor>
    <xdr:from>
      <xdr:col>39</xdr:col>
      <xdr:colOff>950097</xdr:colOff>
      <xdr:row>0</xdr:row>
      <xdr:rowOff>91321</xdr:rowOff>
    </xdr:from>
    <xdr:to>
      <xdr:col>41</xdr:col>
      <xdr:colOff>804422</xdr:colOff>
      <xdr:row>1</xdr:row>
      <xdr:rowOff>365494</xdr:rowOff>
    </xdr:to>
    <xdr:pic>
      <xdr:nvPicPr>
        <xdr:cNvPr id="2" name="Imagen 8">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00990" y="91321"/>
          <a:ext cx="3392182" cy="1240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190500</xdr:colOff>
      <xdr:row>1</xdr:row>
      <xdr:rowOff>149679</xdr:rowOff>
    </xdr:from>
    <xdr:to>
      <xdr:col>2</xdr:col>
      <xdr:colOff>2122714</xdr:colOff>
      <xdr:row>2</xdr:row>
      <xdr:rowOff>305782</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65071" y="1115786"/>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14.xml><?xml version="1.0" encoding="utf-8"?>
<xdr:wsDr xmlns:xdr="http://schemas.openxmlformats.org/drawingml/2006/spreadsheetDrawing" xmlns:a="http://schemas.openxmlformats.org/drawingml/2006/main">
  <xdr:twoCellAnchor>
    <xdr:from>
      <xdr:col>51</xdr:col>
      <xdr:colOff>371475</xdr:colOff>
      <xdr:row>0</xdr:row>
      <xdr:rowOff>138546</xdr:rowOff>
    </xdr:from>
    <xdr:to>
      <xdr:col>53</xdr:col>
      <xdr:colOff>277092</xdr:colOff>
      <xdr:row>1</xdr:row>
      <xdr:rowOff>389656</xdr:rowOff>
    </xdr:to>
    <xdr:pic>
      <xdr:nvPicPr>
        <xdr:cNvPr id="2" name="Imagen 8">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52075" y="138546"/>
          <a:ext cx="1429617"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204108</xdr:colOff>
      <xdr:row>1</xdr:row>
      <xdr:rowOff>149678</xdr:rowOff>
    </xdr:from>
    <xdr:to>
      <xdr:col>3</xdr:col>
      <xdr:colOff>81643</xdr:colOff>
      <xdr:row>2</xdr:row>
      <xdr:rowOff>305781</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78679" y="1115785"/>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15.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59035" y="138546"/>
          <a:ext cx="2192482"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122464</xdr:colOff>
      <xdr:row>1</xdr:row>
      <xdr:rowOff>163286</xdr:rowOff>
    </xdr:from>
    <xdr:to>
      <xdr:col>2</xdr:col>
      <xdr:colOff>2054678</xdr:colOff>
      <xdr:row>2</xdr:row>
      <xdr:rowOff>319389</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497035" y="1129393"/>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16.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03835" y="138546"/>
          <a:ext cx="2192482"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176893</xdr:colOff>
      <xdr:row>1</xdr:row>
      <xdr:rowOff>122464</xdr:rowOff>
    </xdr:from>
    <xdr:to>
      <xdr:col>2</xdr:col>
      <xdr:colOff>2109107</xdr:colOff>
      <xdr:row>2</xdr:row>
      <xdr:rowOff>278567</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1300-000004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51464" y="1088571"/>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17.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09110" y="138546"/>
          <a:ext cx="2192482"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176893</xdr:colOff>
      <xdr:row>1</xdr:row>
      <xdr:rowOff>122464</xdr:rowOff>
    </xdr:from>
    <xdr:to>
      <xdr:col>2</xdr:col>
      <xdr:colOff>2109107</xdr:colOff>
      <xdr:row>2</xdr:row>
      <xdr:rowOff>278567</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48743" y="1084489"/>
          <a:ext cx="1932214" cy="679978"/>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18.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48635" y="138546"/>
          <a:ext cx="2192482"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217715</xdr:colOff>
      <xdr:row>1</xdr:row>
      <xdr:rowOff>204107</xdr:rowOff>
    </xdr:from>
    <xdr:to>
      <xdr:col>2</xdr:col>
      <xdr:colOff>2149929</xdr:colOff>
      <xdr:row>2</xdr:row>
      <xdr:rowOff>360210</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92286" y="1170214"/>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19.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48635" y="138546"/>
          <a:ext cx="2192482"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136071</xdr:colOff>
      <xdr:row>1</xdr:row>
      <xdr:rowOff>176893</xdr:rowOff>
    </xdr:from>
    <xdr:to>
      <xdr:col>2</xdr:col>
      <xdr:colOff>2068285</xdr:colOff>
      <xdr:row>2</xdr:row>
      <xdr:rowOff>332996</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1600-000004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10642" y="1143000"/>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1627910</xdr:colOff>
      <xdr:row>0</xdr:row>
      <xdr:rowOff>138546</xdr:rowOff>
    </xdr:from>
    <xdr:to>
      <xdr:col>50</xdr:col>
      <xdr:colOff>277092</xdr:colOff>
      <xdr:row>1</xdr:row>
      <xdr:rowOff>389656</xdr:rowOff>
    </xdr:to>
    <xdr:pic>
      <xdr:nvPicPr>
        <xdr:cNvPr id="3" name="Imagen 8">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61235" y="138546"/>
          <a:ext cx="2163907"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108857</xdr:colOff>
      <xdr:row>1</xdr:row>
      <xdr:rowOff>163286</xdr:rowOff>
    </xdr:from>
    <xdr:to>
      <xdr:col>2</xdr:col>
      <xdr:colOff>2041071</xdr:colOff>
      <xdr:row>2</xdr:row>
      <xdr:rowOff>319389</xdr:rowOff>
    </xdr:to>
    <xdr:pic>
      <xdr:nvPicPr>
        <xdr:cNvPr id="5" name="Imagen 4">
          <a:hlinkClick xmlns:r="http://schemas.openxmlformats.org/officeDocument/2006/relationships" r:id="rId2"/>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483428" y="1129393"/>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20.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46660" y="138546"/>
          <a:ext cx="1039957" cy="241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xdr:row>
      <xdr:rowOff>190500</xdr:rowOff>
    </xdr:from>
    <xdr:to>
      <xdr:col>2</xdr:col>
      <xdr:colOff>2027464</xdr:colOff>
      <xdr:row>2</xdr:row>
      <xdr:rowOff>346603</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469821" y="1156607"/>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21.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1885" y="138546"/>
          <a:ext cx="2192482"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122464</xdr:colOff>
      <xdr:row>1</xdr:row>
      <xdr:rowOff>258536</xdr:rowOff>
    </xdr:from>
    <xdr:to>
      <xdr:col>2</xdr:col>
      <xdr:colOff>2054678</xdr:colOff>
      <xdr:row>2</xdr:row>
      <xdr:rowOff>414639</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497035" y="1224643"/>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22.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1885" y="138546"/>
          <a:ext cx="2192482"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xdr:row>
      <xdr:rowOff>244929</xdr:rowOff>
    </xdr:from>
    <xdr:to>
      <xdr:col>2</xdr:col>
      <xdr:colOff>2027464</xdr:colOff>
      <xdr:row>2</xdr:row>
      <xdr:rowOff>401032</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1900-000004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469821" y="1211036"/>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23.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225710" y="138546"/>
          <a:ext cx="2192482"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163285</xdr:colOff>
      <xdr:row>1</xdr:row>
      <xdr:rowOff>176893</xdr:rowOff>
    </xdr:from>
    <xdr:to>
      <xdr:col>2</xdr:col>
      <xdr:colOff>2095499</xdr:colOff>
      <xdr:row>2</xdr:row>
      <xdr:rowOff>332996</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37856" y="1143000"/>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3.xml><?xml version="1.0" encoding="utf-8"?>
<xdr:wsDr xmlns:xdr="http://schemas.openxmlformats.org/drawingml/2006/spreadsheetDrawing" xmlns:a="http://schemas.openxmlformats.org/drawingml/2006/main">
  <xdr:twoCellAnchor>
    <xdr:from>
      <xdr:col>50</xdr:col>
      <xdr:colOff>1627910</xdr:colOff>
      <xdr:row>0</xdr:row>
      <xdr:rowOff>138546</xdr:rowOff>
    </xdr:from>
    <xdr:to>
      <xdr:col>52</xdr:col>
      <xdr:colOff>277092</xdr:colOff>
      <xdr:row>1</xdr:row>
      <xdr:rowOff>389656</xdr:rowOff>
    </xdr:to>
    <xdr:pic>
      <xdr:nvPicPr>
        <xdr:cNvPr id="2" name="Imagen 8">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739935" y="138546"/>
          <a:ext cx="2163907"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xdr:row>
      <xdr:rowOff>190500</xdr:rowOff>
    </xdr:from>
    <xdr:to>
      <xdr:col>2</xdr:col>
      <xdr:colOff>2027464</xdr:colOff>
      <xdr:row>2</xdr:row>
      <xdr:rowOff>346603</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469821" y="1156607"/>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006760" y="138546"/>
          <a:ext cx="2163907"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149679</xdr:colOff>
      <xdr:row>1</xdr:row>
      <xdr:rowOff>190500</xdr:rowOff>
    </xdr:from>
    <xdr:to>
      <xdr:col>2</xdr:col>
      <xdr:colOff>2081893</xdr:colOff>
      <xdr:row>2</xdr:row>
      <xdr:rowOff>346603</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24250" y="1156607"/>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5.xml><?xml version="1.0" encoding="utf-8"?>
<xdr:wsDr xmlns:xdr="http://schemas.openxmlformats.org/drawingml/2006/spreadsheetDrawing" xmlns:a="http://schemas.openxmlformats.org/drawingml/2006/main">
  <xdr:twoCellAnchor>
    <xdr:from>
      <xdr:col>58</xdr:col>
      <xdr:colOff>1627910</xdr:colOff>
      <xdr:row>0</xdr:row>
      <xdr:rowOff>138546</xdr:rowOff>
    </xdr:from>
    <xdr:to>
      <xdr:col>60</xdr:col>
      <xdr:colOff>277092</xdr:colOff>
      <xdr:row>1</xdr:row>
      <xdr:rowOff>389656</xdr:rowOff>
    </xdr:to>
    <xdr:pic>
      <xdr:nvPicPr>
        <xdr:cNvPr id="2" name="Imagen 8">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739935" y="138546"/>
          <a:ext cx="2163907"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231322</xdr:colOff>
      <xdr:row>1</xdr:row>
      <xdr:rowOff>176893</xdr:rowOff>
    </xdr:from>
    <xdr:to>
      <xdr:col>2</xdr:col>
      <xdr:colOff>2163536</xdr:colOff>
      <xdr:row>2</xdr:row>
      <xdr:rowOff>332996</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605893" y="1143000"/>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6.xml><?xml version="1.0" encoding="utf-8"?>
<xdr:wsDr xmlns:xdr="http://schemas.openxmlformats.org/drawingml/2006/spreadsheetDrawing" xmlns:a="http://schemas.openxmlformats.org/drawingml/2006/main">
  <xdr:twoCellAnchor>
    <xdr:from>
      <xdr:col>117</xdr:col>
      <xdr:colOff>1627910</xdr:colOff>
      <xdr:row>0</xdr:row>
      <xdr:rowOff>138546</xdr:rowOff>
    </xdr:from>
    <xdr:to>
      <xdr:col>119</xdr:col>
      <xdr:colOff>277092</xdr:colOff>
      <xdr:row>1</xdr:row>
      <xdr:rowOff>389656</xdr:rowOff>
    </xdr:to>
    <xdr:pic>
      <xdr:nvPicPr>
        <xdr:cNvPr id="2" name="Imagen 8">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739935" y="138546"/>
          <a:ext cx="2163907" cy="121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149679</xdr:colOff>
      <xdr:row>1</xdr:row>
      <xdr:rowOff>217714</xdr:rowOff>
    </xdr:from>
    <xdr:to>
      <xdr:col>2</xdr:col>
      <xdr:colOff>2081893</xdr:colOff>
      <xdr:row>2</xdr:row>
      <xdr:rowOff>373817</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24250" y="1183821"/>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7.xml><?xml version="1.0" encoding="utf-8"?>
<xdr:wsDr xmlns:xdr="http://schemas.openxmlformats.org/drawingml/2006/spreadsheetDrawing" xmlns:a="http://schemas.openxmlformats.org/drawingml/2006/main">
  <xdr:twoCellAnchor>
    <xdr:from>
      <xdr:col>47</xdr:col>
      <xdr:colOff>1627910</xdr:colOff>
      <xdr:row>0</xdr:row>
      <xdr:rowOff>138546</xdr:rowOff>
    </xdr:from>
    <xdr:to>
      <xdr:col>49</xdr:col>
      <xdr:colOff>277092</xdr:colOff>
      <xdr:row>1</xdr:row>
      <xdr:rowOff>389656</xdr:rowOff>
    </xdr:to>
    <xdr:pic>
      <xdr:nvPicPr>
        <xdr:cNvPr id="2" name="Imagen 8">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46385" y="138546"/>
          <a:ext cx="1039957" cy="241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136073</xdr:colOff>
      <xdr:row>1</xdr:row>
      <xdr:rowOff>136071</xdr:rowOff>
    </xdr:from>
    <xdr:to>
      <xdr:col>2</xdr:col>
      <xdr:colOff>2068287</xdr:colOff>
      <xdr:row>2</xdr:row>
      <xdr:rowOff>292174</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10644" y="1102178"/>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8.xml><?xml version="1.0" encoding="utf-8"?>
<xdr:wsDr xmlns:xdr="http://schemas.openxmlformats.org/drawingml/2006/spreadsheetDrawing" xmlns:a="http://schemas.openxmlformats.org/drawingml/2006/main">
  <xdr:twoCellAnchor>
    <xdr:from>
      <xdr:col>30</xdr:col>
      <xdr:colOff>1627910</xdr:colOff>
      <xdr:row>0</xdr:row>
      <xdr:rowOff>138546</xdr:rowOff>
    </xdr:from>
    <xdr:to>
      <xdr:col>32</xdr:col>
      <xdr:colOff>277092</xdr:colOff>
      <xdr:row>1</xdr:row>
      <xdr:rowOff>389656</xdr:rowOff>
    </xdr:to>
    <xdr:pic>
      <xdr:nvPicPr>
        <xdr:cNvPr id="2" name="Imagen 8">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89410" y="138546"/>
          <a:ext cx="1039957" cy="241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163286</xdr:colOff>
      <xdr:row>1</xdr:row>
      <xdr:rowOff>149678</xdr:rowOff>
    </xdr:from>
    <xdr:to>
      <xdr:col>2</xdr:col>
      <xdr:colOff>2095500</xdr:colOff>
      <xdr:row>2</xdr:row>
      <xdr:rowOff>305781</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37857" y="1115785"/>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drawings/drawing9.xml><?xml version="1.0" encoding="utf-8"?>
<xdr:wsDr xmlns:xdr="http://schemas.openxmlformats.org/drawingml/2006/spreadsheetDrawing" xmlns:a="http://schemas.openxmlformats.org/drawingml/2006/main">
  <xdr:twoCellAnchor>
    <xdr:from>
      <xdr:col>32</xdr:col>
      <xdr:colOff>1627910</xdr:colOff>
      <xdr:row>0</xdr:row>
      <xdr:rowOff>138546</xdr:rowOff>
    </xdr:from>
    <xdr:to>
      <xdr:col>34</xdr:col>
      <xdr:colOff>277092</xdr:colOff>
      <xdr:row>1</xdr:row>
      <xdr:rowOff>389656</xdr:rowOff>
    </xdr:to>
    <xdr:pic>
      <xdr:nvPicPr>
        <xdr:cNvPr id="2" name="Imagen 8">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241760" y="138546"/>
          <a:ext cx="1039957" cy="241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163286</xdr:colOff>
      <xdr:row>1</xdr:row>
      <xdr:rowOff>176893</xdr:rowOff>
    </xdr:from>
    <xdr:to>
      <xdr:col>2</xdr:col>
      <xdr:colOff>2095500</xdr:colOff>
      <xdr:row>2</xdr:row>
      <xdr:rowOff>332996</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66000"/>
                  </a14:imgEffect>
                </a14:imgLayer>
              </a14:imgProps>
            </a:ext>
            <a:ext uri="{28A0092B-C50C-407E-A947-70E740481C1C}">
              <a14:useLocalDpi xmlns:a14="http://schemas.microsoft.com/office/drawing/2010/main" val="0"/>
            </a:ext>
          </a:extLst>
        </a:blip>
        <a:stretch>
          <a:fillRect/>
        </a:stretch>
      </xdr:blipFill>
      <xdr:spPr>
        <a:xfrm>
          <a:off x="3537857" y="1143000"/>
          <a:ext cx="1932214" cy="686782"/>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prst="relaxedInset"/>
        </a:sp3d>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R69"/>
  <sheetViews>
    <sheetView topLeftCell="D1" zoomScale="70" zoomScaleNormal="70" workbookViewId="0">
      <selection activeCell="K7" sqref="K7"/>
    </sheetView>
  </sheetViews>
  <sheetFormatPr baseColWidth="10" defaultRowHeight="12.75" x14ac:dyDescent="0.2"/>
  <cols>
    <col min="1" max="1" width="37.5703125" style="2" customWidth="1"/>
    <col min="2" max="2" width="34.28515625" style="2" customWidth="1"/>
    <col min="3" max="3" width="35.140625" style="2" customWidth="1"/>
    <col min="4" max="4" width="31.85546875" style="3" customWidth="1"/>
    <col min="5" max="5" width="14.42578125" style="3" customWidth="1"/>
    <col min="6" max="6" width="25.5703125" style="3" customWidth="1"/>
    <col min="7" max="7" width="26.28515625" style="3" customWidth="1"/>
    <col min="8" max="8" width="16.140625" style="3" customWidth="1"/>
    <col min="9" max="9" width="19.42578125" style="2" customWidth="1"/>
    <col min="10" max="10" width="14.85546875" style="2" customWidth="1"/>
    <col min="11" max="11" width="15.28515625" style="2" customWidth="1"/>
    <col min="12" max="12" width="14.28515625" style="2" customWidth="1"/>
    <col min="13" max="13" width="17.28515625" style="2" customWidth="1"/>
    <col min="14" max="14" width="17.7109375" style="2" customWidth="1"/>
    <col min="15" max="15" width="17.85546875" style="2" customWidth="1"/>
    <col min="16" max="16" width="19.140625" style="2" customWidth="1"/>
    <col min="17" max="17" width="18.7109375" style="2" customWidth="1"/>
    <col min="18" max="18" width="21" style="2" customWidth="1"/>
    <col min="19" max="19" width="11.42578125" style="2"/>
    <col min="20" max="20" width="11.42578125" style="2" customWidth="1"/>
    <col min="21" max="16384" width="11.42578125" style="2"/>
  </cols>
  <sheetData>
    <row r="1" spans="1:18" ht="53.25" customHeight="1" x14ac:dyDescent="0.2">
      <c r="A1" s="1"/>
      <c r="B1" s="522" t="s">
        <v>0</v>
      </c>
      <c r="C1" s="523"/>
      <c r="D1" s="523"/>
      <c r="E1" s="523"/>
      <c r="F1" s="523"/>
      <c r="G1" s="523"/>
      <c r="H1" s="523"/>
      <c r="I1" s="523"/>
      <c r="J1" s="523"/>
      <c r="K1" s="523"/>
      <c r="L1" s="523"/>
      <c r="M1" s="523"/>
      <c r="N1" s="523"/>
      <c r="O1" s="523"/>
      <c r="P1" s="523"/>
      <c r="Q1" s="523"/>
      <c r="R1" s="523"/>
    </row>
    <row r="2" spans="1:18" ht="21" customHeight="1" x14ac:dyDescent="0.2">
      <c r="A2" s="524"/>
      <c r="B2" s="526" t="s">
        <v>191</v>
      </c>
      <c r="C2" s="527"/>
      <c r="D2" s="527"/>
      <c r="E2" s="527"/>
      <c r="F2" s="527"/>
      <c r="G2" s="527"/>
      <c r="H2" s="527"/>
      <c r="I2" s="527"/>
      <c r="J2" s="527"/>
      <c r="K2" s="527"/>
      <c r="L2" s="527"/>
      <c r="M2" s="527"/>
      <c r="N2" s="527"/>
      <c r="O2" s="527"/>
      <c r="P2" s="527"/>
      <c r="Q2" s="527"/>
      <c r="R2" s="527"/>
    </row>
    <row r="3" spans="1:18" ht="16.5" customHeight="1" thickBot="1" x14ac:dyDescent="0.25">
      <c r="A3" s="525"/>
      <c r="B3" s="528"/>
      <c r="C3" s="529"/>
      <c r="D3" s="529"/>
      <c r="E3" s="529"/>
      <c r="F3" s="529"/>
      <c r="G3" s="529"/>
      <c r="H3" s="529"/>
      <c r="I3" s="529"/>
      <c r="J3" s="529"/>
      <c r="K3" s="529"/>
      <c r="L3" s="529"/>
      <c r="M3" s="529"/>
      <c r="N3" s="529"/>
      <c r="O3" s="529"/>
      <c r="P3" s="529"/>
      <c r="Q3" s="529"/>
      <c r="R3" s="529"/>
    </row>
    <row r="4" spans="1:18" ht="9.75" customHeight="1" x14ac:dyDescent="0.25">
      <c r="A4" s="530"/>
      <c r="B4" s="530"/>
      <c r="C4" s="530"/>
    </row>
    <row r="5" spans="1:18" ht="57" customHeight="1" x14ac:dyDescent="0.2">
      <c r="A5" s="534" t="s">
        <v>1</v>
      </c>
      <c r="B5" s="534" t="s">
        <v>2</v>
      </c>
      <c r="C5" s="534" t="s">
        <v>3</v>
      </c>
      <c r="D5" s="534" t="s">
        <v>4</v>
      </c>
      <c r="E5" s="534" t="s">
        <v>5</v>
      </c>
      <c r="F5" s="534" t="s">
        <v>6</v>
      </c>
      <c r="G5" s="534" t="s">
        <v>7</v>
      </c>
      <c r="H5" s="534" t="s">
        <v>8</v>
      </c>
      <c r="I5" s="534" t="s">
        <v>9</v>
      </c>
      <c r="J5" s="539" t="s">
        <v>10</v>
      </c>
      <c r="K5" s="539"/>
      <c r="L5" s="539"/>
      <c r="M5" s="540"/>
      <c r="N5" s="531" t="s">
        <v>11</v>
      </c>
      <c r="O5" s="532"/>
      <c r="P5" s="532"/>
      <c r="Q5" s="532"/>
      <c r="R5" s="533"/>
    </row>
    <row r="6" spans="1:18" ht="63" customHeight="1" x14ac:dyDescent="0.2">
      <c r="A6" s="535"/>
      <c r="B6" s="535"/>
      <c r="C6" s="535"/>
      <c r="D6" s="535"/>
      <c r="E6" s="535"/>
      <c r="F6" s="535"/>
      <c r="G6" s="535"/>
      <c r="H6" s="535"/>
      <c r="I6" s="535"/>
      <c r="J6" s="4" t="s">
        <v>12</v>
      </c>
      <c r="K6" s="4" t="s">
        <v>13</v>
      </c>
      <c r="L6" s="4" t="s">
        <v>14</v>
      </c>
      <c r="M6" s="4" t="s">
        <v>15</v>
      </c>
      <c r="N6" s="5" t="s">
        <v>16</v>
      </c>
      <c r="O6" s="5" t="s">
        <v>17</v>
      </c>
      <c r="P6" s="5" t="s">
        <v>18</v>
      </c>
      <c r="Q6" s="5" t="s">
        <v>19</v>
      </c>
      <c r="R6" s="5" t="s">
        <v>20</v>
      </c>
    </row>
    <row r="7" spans="1:18" ht="66" customHeight="1" x14ac:dyDescent="0.2">
      <c r="A7" s="541" t="s">
        <v>21</v>
      </c>
      <c r="B7" s="541" t="s">
        <v>22</v>
      </c>
      <c r="C7" s="541" t="s">
        <v>23</v>
      </c>
      <c r="D7" s="536" t="s">
        <v>24</v>
      </c>
      <c r="E7" s="544">
        <v>0.4</v>
      </c>
      <c r="F7" s="40" t="s">
        <v>25</v>
      </c>
      <c r="G7" s="6" t="s">
        <v>26</v>
      </c>
      <c r="I7" s="536" t="s">
        <v>27</v>
      </c>
      <c r="J7" s="43"/>
      <c r="K7" s="43"/>
      <c r="L7" s="44"/>
      <c r="M7" s="45"/>
      <c r="N7" s="9" t="str">
        <f>IFERROR((J7*100%)/#REF!,"-")</f>
        <v>-</v>
      </c>
      <c r="O7" s="9">
        <v>0.85</v>
      </c>
      <c r="P7" s="9" t="str">
        <f>IFERROR((L7*100%)/#REF!,"-")</f>
        <v>-</v>
      </c>
      <c r="Q7" s="9" t="str">
        <f>IFERROR((M7*100%)/#REF!,"-")</f>
        <v>-</v>
      </c>
      <c r="R7" s="9">
        <f>IFERROR(AVERAGE(N7:Q7),"-")</f>
        <v>0.85</v>
      </c>
    </row>
    <row r="8" spans="1:18" ht="66" customHeight="1" x14ac:dyDescent="0.2">
      <c r="A8" s="542"/>
      <c r="B8" s="542"/>
      <c r="C8" s="542"/>
      <c r="D8" s="537"/>
      <c r="E8" s="545"/>
      <c r="F8" s="40" t="s">
        <v>28</v>
      </c>
      <c r="G8" s="6" t="s">
        <v>29</v>
      </c>
      <c r="I8" s="537"/>
      <c r="J8" s="7"/>
      <c r="K8" s="7"/>
      <c r="L8" s="8"/>
      <c r="M8" s="10"/>
      <c r="N8" s="9" t="str">
        <f>IFERROR((J8*100%)/#REF!,"-")</f>
        <v>-</v>
      </c>
      <c r="O8" s="9" t="str">
        <f>IFERROR((K8*100%)/#REF!,"-")</f>
        <v>-</v>
      </c>
      <c r="P8" s="9" t="str">
        <f>IFERROR((L8*100%)/#REF!,"-")</f>
        <v>-</v>
      </c>
      <c r="Q8" s="9" t="str">
        <f>IFERROR((M8*100%)/#REF!,"-")</f>
        <v>-</v>
      </c>
      <c r="R8" s="9" t="str">
        <f t="shared" ref="R8:R68" si="0">IFERROR(AVERAGE(N8:Q8),"-")</f>
        <v>-</v>
      </c>
    </row>
    <row r="9" spans="1:18" ht="66" customHeight="1" x14ac:dyDescent="0.2">
      <c r="A9" s="542"/>
      <c r="B9" s="542"/>
      <c r="C9" s="542"/>
      <c r="D9" s="537"/>
      <c r="E9" s="545"/>
      <c r="F9" s="40" t="s">
        <v>30</v>
      </c>
      <c r="G9" s="6" t="s">
        <v>31</v>
      </c>
      <c r="I9" s="537"/>
      <c r="J9" s="7"/>
      <c r="K9" s="7"/>
      <c r="L9" s="8"/>
      <c r="M9" s="10"/>
      <c r="N9" s="9" t="str">
        <f>IFERROR((J9*100%)/#REF!,"-")</f>
        <v>-</v>
      </c>
      <c r="O9" s="9" t="str">
        <f>IFERROR((K9*100%)/#REF!,"-")</f>
        <v>-</v>
      </c>
      <c r="P9" s="9" t="str">
        <f>IFERROR((L9*100%)/#REF!,"-")</f>
        <v>-</v>
      </c>
      <c r="Q9" s="9" t="str">
        <f>IFERROR((M9*100%)/#REF!,"-")</f>
        <v>-</v>
      </c>
      <c r="R9" s="9" t="str">
        <f t="shared" si="0"/>
        <v>-</v>
      </c>
    </row>
    <row r="10" spans="1:18" ht="66" customHeight="1" x14ac:dyDescent="0.2">
      <c r="A10" s="543"/>
      <c r="B10" s="543"/>
      <c r="C10" s="543"/>
      <c r="D10" s="538"/>
      <c r="E10" s="546"/>
      <c r="F10" s="40" t="s">
        <v>32</v>
      </c>
      <c r="G10" s="6" t="s">
        <v>33</v>
      </c>
      <c r="I10" s="538"/>
      <c r="J10" s="7"/>
      <c r="K10" s="7"/>
      <c r="L10" s="8"/>
      <c r="M10" s="10"/>
      <c r="N10" s="9" t="str">
        <f>IFERROR((J10*100%)/#REF!,"-")</f>
        <v>-</v>
      </c>
      <c r="O10" s="9" t="str">
        <f>IFERROR((K10*100%)/#REF!,"-")</f>
        <v>-</v>
      </c>
      <c r="P10" s="9" t="str">
        <f>IFERROR((L10*100%)/#REF!,"-")</f>
        <v>-</v>
      </c>
      <c r="Q10" s="9" t="str">
        <f>IFERROR((M10*100%)/#REF!,"-")</f>
        <v>-</v>
      </c>
      <c r="R10" s="9" t="str">
        <f t="shared" si="0"/>
        <v>-</v>
      </c>
    </row>
    <row r="11" spans="1:18" ht="81" customHeight="1" x14ac:dyDescent="0.2">
      <c r="A11" s="536" t="s">
        <v>34</v>
      </c>
      <c r="B11" s="536" t="s">
        <v>35</v>
      </c>
      <c r="C11" s="536" t="s">
        <v>36</v>
      </c>
      <c r="D11" s="536" t="s">
        <v>37</v>
      </c>
      <c r="E11" s="544">
        <v>0.35</v>
      </c>
      <c r="F11" s="40" t="s">
        <v>38</v>
      </c>
      <c r="G11" s="6" t="s">
        <v>39</v>
      </c>
      <c r="H11" s="6">
        <v>1</v>
      </c>
      <c r="I11" s="536" t="s">
        <v>40</v>
      </c>
      <c r="J11" s="7"/>
      <c r="K11" s="7"/>
      <c r="L11" s="7"/>
      <c r="M11" s="7"/>
      <c r="N11" s="9">
        <f>IFERROR((J11*100%)/H11,"-")</f>
        <v>0</v>
      </c>
      <c r="O11" s="9">
        <f t="shared" ref="O11:O45" si="1">IFERROR((K11*100%)/H11,"-")</f>
        <v>0</v>
      </c>
      <c r="P11" s="9">
        <f t="shared" ref="P11:P45" si="2">IFERROR((L11*100%)/H11,"-")</f>
        <v>0</v>
      </c>
      <c r="Q11" s="9">
        <f t="shared" ref="Q11:Q42" si="3">IFERROR((M11*100%)/H11,"-")</f>
        <v>0</v>
      </c>
      <c r="R11" s="9">
        <f t="shared" si="0"/>
        <v>0</v>
      </c>
    </row>
    <row r="12" spans="1:18" ht="81" customHeight="1" x14ac:dyDescent="0.2">
      <c r="A12" s="537"/>
      <c r="B12" s="537"/>
      <c r="C12" s="537"/>
      <c r="D12" s="537"/>
      <c r="E12" s="545"/>
      <c r="F12" s="40" t="s">
        <v>41</v>
      </c>
      <c r="G12" s="6" t="s">
        <v>39</v>
      </c>
      <c r="H12" s="6">
        <v>1</v>
      </c>
      <c r="I12" s="537"/>
      <c r="J12" s="7"/>
      <c r="K12" s="7"/>
      <c r="L12" s="7"/>
      <c r="M12" s="7"/>
      <c r="N12" s="9">
        <f t="shared" ref="N12:N37" si="4">IFERROR((J12*100%)/H12,"-")</f>
        <v>0</v>
      </c>
      <c r="O12" s="9">
        <f t="shared" si="1"/>
        <v>0</v>
      </c>
      <c r="P12" s="9">
        <f t="shared" si="2"/>
        <v>0</v>
      </c>
      <c r="Q12" s="9">
        <f t="shared" si="3"/>
        <v>0</v>
      </c>
      <c r="R12" s="9">
        <f t="shared" si="0"/>
        <v>0</v>
      </c>
    </row>
    <row r="13" spans="1:18" ht="81" customHeight="1" x14ac:dyDescent="0.2">
      <c r="A13" s="537"/>
      <c r="B13" s="537"/>
      <c r="C13" s="537"/>
      <c r="D13" s="537"/>
      <c r="E13" s="545"/>
      <c r="F13" s="40" t="s">
        <v>42</v>
      </c>
      <c r="G13" s="6" t="s">
        <v>39</v>
      </c>
      <c r="H13" s="6">
        <v>1</v>
      </c>
      <c r="I13" s="537"/>
      <c r="J13" s="7"/>
      <c r="K13" s="7"/>
      <c r="L13" s="7"/>
      <c r="M13" s="7"/>
      <c r="N13" s="9">
        <f t="shared" si="4"/>
        <v>0</v>
      </c>
      <c r="O13" s="9">
        <f t="shared" si="1"/>
        <v>0</v>
      </c>
      <c r="P13" s="9">
        <f t="shared" si="2"/>
        <v>0</v>
      </c>
      <c r="Q13" s="9">
        <f t="shared" si="3"/>
        <v>0</v>
      </c>
      <c r="R13" s="9">
        <f t="shared" si="0"/>
        <v>0</v>
      </c>
    </row>
    <row r="14" spans="1:18" ht="81" customHeight="1" x14ac:dyDescent="0.2">
      <c r="A14" s="537"/>
      <c r="B14" s="537"/>
      <c r="C14" s="537"/>
      <c r="D14" s="537"/>
      <c r="E14" s="545"/>
      <c r="F14" s="40" t="s">
        <v>43</v>
      </c>
      <c r="G14" s="6" t="s">
        <v>39</v>
      </c>
      <c r="H14" s="6">
        <v>1</v>
      </c>
      <c r="I14" s="537"/>
      <c r="J14" s="7"/>
      <c r="K14" s="7"/>
      <c r="L14" s="7"/>
      <c r="M14" s="7"/>
      <c r="N14" s="9">
        <f t="shared" si="4"/>
        <v>0</v>
      </c>
      <c r="O14" s="9">
        <f t="shared" si="1"/>
        <v>0</v>
      </c>
      <c r="P14" s="9">
        <f t="shared" si="2"/>
        <v>0</v>
      </c>
      <c r="Q14" s="9">
        <f t="shared" si="3"/>
        <v>0</v>
      </c>
      <c r="R14" s="9">
        <f t="shared" si="0"/>
        <v>0</v>
      </c>
    </row>
    <row r="15" spans="1:18" ht="81" customHeight="1" x14ac:dyDescent="0.2">
      <c r="A15" s="537"/>
      <c r="B15" s="537"/>
      <c r="C15" s="537"/>
      <c r="D15" s="537"/>
      <c r="E15" s="545"/>
      <c r="F15" s="40" t="s">
        <v>44</v>
      </c>
      <c r="G15" s="6" t="s">
        <v>39</v>
      </c>
      <c r="H15" s="6">
        <v>1</v>
      </c>
      <c r="I15" s="537"/>
      <c r="J15" s="7"/>
      <c r="K15" s="7"/>
      <c r="L15" s="7"/>
      <c r="M15" s="7"/>
      <c r="N15" s="9">
        <f t="shared" si="4"/>
        <v>0</v>
      </c>
      <c r="O15" s="9">
        <f t="shared" si="1"/>
        <v>0</v>
      </c>
      <c r="P15" s="9">
        <f t="shared" si="2"/>
        <v>0</v>
      </c>
      <c r="Q15" s="9">
        <f t="shared" si="3"/>
        <v>0</v>
      </c>
      <c r="R15" s="9">
        <f t="shared" si="0"/>
        <v>0</v>
      </c>
    </row>
    <row r="16" spans="1:18" ht="81" customHeight="1" x14ac:dyDescent="0.2">
      <c r="A16" s="537"/>
      <c r="B16" s="537"/>
      <c r="C16" s="537"/>
      <c r="D16" s="537"/>
      <c r="E16" s="545"/>
      <c r="F16" s="40" t="s">
        <v>45</v>
      </c>
      <c r="G16" s="6" t="s">
        <v>39</v>
      </c>
      <c r="H16" s="6">
        <v>1</v>
      </c>
      <c r="I16" s="537"/>
      <c r="J16" s="7"/>
      <c r="K16" s="7"/>
      <c r="L16" s="7"/>
      <c r="M16" s="7"/>
      <c r="N16" s="9">
        <f t="shared" si="4"/>
        <v>0</v>
      </c>
      <c r="O16" s="9">
        <f t="shared" si="1"/>
        <v>0</v>
      </c>
      <c r="P16" s="9">
        <f t="shared" si="2"/>
        <v>0</v>
      </c>
      <c r="Q16" s="9">
        <f t="shared" si="3"/>
        <v>0</v>
      </c>
      <c r="R16" s="9">
        <f t="shared" si="0"/>
        <v>0</v>
      </c>
    </row>
    <row r="17" spans="1:18" ht="81" customHeight="1" x14ac:dyDescent="0.2">
      <c r="A17" s="537"/>
      <c r="B17" s="537"/>
      <c r="C17" s="537"/>
      <c r="D17" s="537"/>
      <c r="E17" s="545"/>
      <c r="F17" s="40" t="s">
        <v>46</v>
      </c>
      <c r="G17" s="6" t="s">
        <v>39</v>
      </c>
      <c r="H17" s="6">
        <v>1</v>
      </c>
      <c r="I17" s="537"/>
      <c r="J17" s="7"/>
      <c r="K17" s="7"/>
      <c r="L17" s="7"/>
      <c r="M17" s="7"/>
      <c r="N17" s="9">
        <f t="shared" si="4"/>
        <v>0</v>
      </c>
      <c r="O17" s="9">
        <f t="shared" si="1"/>
        <v>0</v>
      </c>
      <c r="P17" s="9">
        <f t="shared" si="2"/>
        <v>0</v>
      </c>
      <c r="Q17" s="9">
        <f t="shared" si="3"/>
        <v>0</v>
      </c>
      <c r="R17" s="9">
        <f t="shared" si="0"/>
        <v>0</v>
      </c>
    </row>
    <row r="18" spans="1:18" ht="81" customHeight="1" x14ac:dyDescent="0.2">
      <c r="A18" s="538"/>
      <c r="B18" s="538"/>
      <c r="C18" s="538"/>
      <c r="D18" s="538"/>
      <c r="E18" s="546"/>
      <c r="F18" s="6" t="s">
        <v>47</v>
      </c>
      <c r="G18" s="6" t="s">
        <v>39</v>
      </c>
      <c r="H18" s="6">
        <v>1</v>
      </c>
      <c r="I18" s="538"/>
      <c r="J18" s="7"/>
      <c r="K18" s="7"/>
      <c r="L18" s="7"/>
      <c r="M18" s="7"/>
      <c r="N18" s="9">
        <f t="shared" si="4"/>
        <v>0</v>
      </c>
      <c r="O18" s="9">
        <f t="shared" si="1"/>
        <v>0</v>
      </c>
      <c r="P18" s="9">
        <f t="shared" si="2"/>
        <v>0</v>
      </c>
      <c r="Q18" s="9">
        <f t="shared" si="3"/>
        <v>0</v>
      </c>
      <c r="R18" s="9">
        <f t="shared" si="0"/>
        <v>0</v>
      </c>
    </row>
    <row r="19" spans="1:18" ht="56.25" customHeight="1" x14ac:dyDescent="0.2">
      <c r="A19" s="541" t="s">
        <v>48</v>
      </c>
      <c r="B19" s="536" t="s">
        <v>49</v>
      </c>
      <c r="C19" s="536" t="s">
        <v>50</v>
      </c>
      <c r="D19" s="11" t="s">
        <v>51</v>
      </c>
      <c r="E19" s="11" t="s">
        <v>52</v>
      </c>
      <c r="F19" s="11"/>
      <c r="G19" s="11"/>
      <c r="H19" s="6"/>
      <c r="I19" s="11"/>
      <c r="J19" s="7"/>
      <c r="K19" s="7"/>
      <c r="L19" s="7"/>
      <c r="M19" s="10"/>
      <c r="N19" s="39" t="str">
        <f t="shared" si="4"/>
        <v>-</v>
      </c>
      <c r="O19" s="39" t="str">
        <f t="shared" si="1"/>
        <v>-</v>
      </c>
      <c r="P19" s="39" t="str">
        <f t="shared" si="2"/>
        <v>-</v>
      </c>
      <c r="Q19" s="39" t="str">
        <f t="shared" si="3"/>
        <v>-</v>
      </c>
      <c r="R19" s="39" t="str">
        <f t="shared" si="0"/>
        <v>-</v>
      </c>
    </row>
    <row r="20" spans="1:18" ht="51.75" customHeight="1" x14ac:dyDescent="0.2">
      <c r="A20" s="543"/>
      <c r="B20" s="538"/>
      <c r="C20" s="538"/>
      <c r="D20" s="11" t="s">
        <v>53</v>
      </c>
      <c r="E20" s="6">
        <v>0.65</v>
      </c>
      <c r="F20" s="11"/>
      <c r="G20" s="11"/>
      <c r="H20" s="6"/>
      <c r="I20" s="11" t="s">
        <v>54</v>
      </c>
      <c r="J20" s="7"/>
      <c r="K20" s="7"/>
      <c r="L20" s="7"/>
      <c r="M20" s="10"/>
      <c r="N20" s="39" t="str">
        <f t="shared" si="4"/>
        <v>-</v>
      </c>
      <c r="O20" s="39" t="str">
        <f t="shared" si="1"/>
        <v>-</v>
      </c>
      <c r="P20" s="39" t="str">
        <f t="shared" si="2"/>
        <v>-</v>
      </c>
      <c r="Q20" s="39" t="str">
        <f t="shared" si="3"/>
        <v>-</v>
      </c>
      <c r="R20" s="39" t="str">
        <f t="shared" si="0"/>
        <v>-</v>
      </c>
    </row>
    <row r="21" spans="1:18" ht="51" x14ac:dyDescent="0.2">
      <c r="A21" s="536" t="s">
        <v>55</v>
      </c>
      <c r="B21" s="536" t="s">
        <v>56</v>
      </c>
      <c r="C21" s="536" t="s">
        <v>57</v>
      </c>
      <c r="D21" s="536" t="s">
        <v>58</v>
      </c>
      <c r="E21" s="544">
        <v>0.4</v>
      </c>
      <c r="F21" s="11" t="s">
        <v>59</v>
      </c>
      <c r="G21" s="6" t="s">
        <v>211</v>
      </c>
      <c r="H21" s="6">
        <v>1</v>
      </c>
      <c r="I21" s="536" t="s">
        <v>40</v>
      </c>
      <c r="J21" s="10"/>
      <c r="K21" s="10"/>
      <c r="L21" s="10"/>
      <c r="M21" s="10"/>
      <c r="N21" s="9">
        <f t="shared" si="4"/>
        <v>0</v>
      </c>
      <c r="O21" s="9">
        <f t="shared" si="1"/>
        <v>0</v>
      </c>
      <c r="P21" s="9">
        <f t="shared" si="2"/>
        <v>0</v>
      </c>
      <c r="Q21" s="9">
        <f t="shared" si="3"/>
        <v>0</v>
      </c>
      <c r="R21" s="9">
        <f t="shared" si="0"/>
        <v>0</v>
      </c>
    </row>
    <row r="22" spans="1:18" ht="51" x14ac:dyDescent="0.2">
      <c r="A22" s="537"/>
      <c r="B22" s="537"/>
      <c r="C22" s="537"/>
      <c r="D22" s="537"/>
      <c r="E22" s="545"/>
      <c r="F22" s="11" t="s">
        <v>60</v>
      </c>
      <c r="G22" s="6" t="s">
        <v>211</v>
      </c>
      <c r="H22" s="6">
        <v>1</v>
      </c>
      <c r="I22" s="537"/>
      <c r="J22" s="10"/>
      <c r="K22" s="10"/>
      <c r="L22" s="10"/>
      <c r="M22" s="10"/>
      <c r="N22" s="9">
        <f t="shared" si="4"/>
        <v>0</v>
      </c>
      <c r="O22" s="9">
        <f t="shared" si="1"/>
        <v>0</v>
      </c>
      <c r="P22" s="9">
        <f t="shared" si="2"/>
        <v>0</v>
      </c>
      <c r="Q22" s="9">
        <f t="shared" si="3"/>
        <v>0</v>
      </c>
      <c r="R22" s="9">
        <f t="shared" si="0"/>
        <v>0</v>
      </c>
    </row>
    <row r="23" spans="1:18" ht="51" x14ac:dyDescent="0.2">
      <c r="A23" s="537"/>
      <c r="B23" s="537"/>
      <c r="C23" s="537"/>
      <c r="D23" s="537"/>
      <c r="E23" s="545"/>
      <c r="F23" s="11" t="s">
        <v>61</v>
      </c>
      <c r="G23" s="6" t="s">
        <v>211</v>
      </c>
      <c r="H23" s="6">
        <v>1</v>
      </c>
      <c r="I23" s="537"/>
      <c r="J23" s="10"/>
      <c r="K23" s="10"/>
      <c r="L23" s="10"/>
      <c r="M23" s="10"/>
      <c r="N23" s="9">
        <f t="shared" si="4"/>
        <v>0</v>
      </c>
      <c r="O23" s="9">
        <f t="shared" si="1"/>
        <v>0</v>
      </c>
      <c r="P23" s="9">
        <f t="shared" si="2"/>
        <v>0</v>
      </c>
      <c r="Q23" s="9">
        <f t="shared" si="3"/>
        <v>0</v>
      </c>
      <c r="R23" s="9">
        <f t="shared" si="0"/>
        <v>0</v>
      </c>
    </row>
    <row r="24" spans="1:18" ht="51" x14ac:dyDescent="0.2">
      <c r="A24" s="537"/>
      <c r="B24" s="537"/>
      <c r="C24" s="537"/>
      <c r="D24" s="537"/>
      <c r="E24" s="545"/>
      <c r="F24" s="11" t="s">
        <v>62</v>
      </c>
      <c r="G24" s="6" t="s">
        <v>211</v>
      </c>
      <c r="H24" s="6">
        <v>1</v>
      </c>
      <c r="I24" s="537"/>
      <c r="J24" s="10"/>
      <c r="K24" s="10"/>
      <c r="L24" s="10"/>
      <c r="M24" s="10"/>
      <c r="N24" s="9">
        <f t="shared" si="4"/>
        <v>0</v>
      </c>
      <c r="O24" s="9">
        <f t="shared" si="1"/>
        <v>0</v>
      </c>
      <c r="P24" s="9">
        <f t="shared" si="2"/>
        <v>0</v>
      </c>
      <c r="Q24" s="9">
        <f t="shared" si="3"/>
        <v>0</v>
      </c>
      <c r="R24" s="9">
        <f t="shared" si="0"/>
        <v>0</v>
      </c>
    </row>
    <row r="25" spans="1:18" ht="51" x14ac:dyDescent="0.2">
      <c r="A25" s="537"/>
      <c r="B25" s="537"/>
      <c r="C25" s="537"/>
      <c r="D25" s="537"/>
      <c r="E25" s="545"/>
      <c r="F25" s="11" t="s">
        <v>63</v>
      </c>
      <c r="G25" s="6" t="s">
        <v>211</v>
      </c>
      <c r="H25" s="6">
        <v>1</v>
      </c>
      <c r="I25" s="537"/>
      <c r="J25" s="10"/>
      <c r="K25" s="10"/>
      <c r="L25" s="10"/>
      <c r="M25" s="10"/>
      <c r="N25" s="9">
        <f t="shared" si="4"/>
        <v>0</v>
      </c>
      <c r="O25" s="9">
        <f t="shared" si="1"/>
        <v>0</v>
      </c>
      <c r="P25" s="9">
        <f t="shared" si="2"/>
        <v>0</v>
      </c>
      <c r="Q25" s="9">
        <f t="shared" si="3"/>
        <v>0</v>
      </c>
      <c r="R25" s="9">
        <f t="shared" si="0"/>
        <v>0</v>
      </c>
    </row>
    <row r="26" spans="1:18" ht="51" x14ac:dyDescent="0.2">
      <c r="A26" s="537"/>
      <c r="B26" s="537"/>
      <c r="C26" s="537"/>
      <c r="D26" s="537"/>
      <c r="E26" s="545"/>
      <c r="F26" s="11" t="s">
        <v>64</v>
      </c>
      <c r="G26" s="6" t="s">
        <v>211</v>
      </c>
      <c r="H26" s="6">
        <v>1</v>
      </c>
      <c r="I26" s="537"/>
      <c r="J26" s="10"/>
      <c r="K26" s="10"/>
      <c r="L26" s="10"/>
      <c r="M26" s="10"/>
      <c r="N26" s="9">
        <f t="shared" si="4"/>
        <v>0</v>
      </c>
      <c r="O26" s="9">
        <f t="shared" si="1"/>
        <v>0</v>
      </c>
      <c r="P26" s="9">
        <f t="shared" si="2"/>
        <v>0</v>
      </c>
      <c r="Q26" s="9">
        <f t="shared" si="3"/>
        <v>0</v>
      </c>
      <c r="R26" s="9">
        <f t="shared" si="0"/>
        <v>0</v>
      </c>
    </row>
    <row r="27" spans="1:18" ht="51" x14ac:dyDescent="0.2">
      <c r="A27" s="537"/>
      <c r="B27" s="537"/>
      <c r="C27" s="537"/>
      <c r="D27" s="537"/>
      <c r="E27" s="545"/>
      <c r="F27" s="11" t="s">
        <v>65</v>
      </c>
      <c r="G27" s="6" t="s">
        <v>211</v>
      </c>
      <c r="H27" s="6">
        <v>1</v>
      </c>
      <c r="I27" s="537"/>
      <c r="J27" s="10"/>
      <c r="K27" s="10"/>
      <c r="L27" s="10"/>
      <c r="M27" s="10"/>
      <c r="N27" s="9">
        <f t="shared" si="4"/>
        <v>0</v>
      </c>
      <c r="O27" s="9">
        <f t="shared" si="1"/>
        <v>0</v>
      </c>
      <c r="P27" s="9">
        <f t="shared" si="2"/>
        <v>0</v>
      </c>
      <c r="Q27" s="9">
        <f t="shared" si="3"/>
        <v>0</v>
      </c>
      <c r="R27" s="9">
        <f t="shared" si="0"/>
        <v>0</v>
      </c>
    </row>
    <row r="28" spans="1:18" ht="51" x14ac:dyDescent="0.2">
      <c r="A28" s="537"/>
      <c r="B28" s="537"/>
      <c r="C28" s="537"/>
      <c r="D28" s="537"/>
      <c r="E28" s="545"/>
      <c r="F28" s="11" t="s">
        <v>66</v>
      </c>
      <c r="G28" s="6" t="s">
        <v>211</v>
      </c>
      <c r="H28" s="6">
        <v>1</v>
      </c>
      <c r="I28" s="537"/>
      <c r="J28" s="10"/>
      <c r="K28" s="10"/>
      <c r="L28" s="10"/>
      <c r="M28" s="10"/>
      <c r="N28" s="9">
        <f t="shared" si="4"/>
        <v>0</v>
      </c>
      <c r="O28" s="9">
        <f t="shared" si="1"/>
        <v>0</v>
      </c>
      <c r="P28" s="9">
        <f t="shared" si="2"/>
        <v>0</v>
      </c>
      <c r="Q28" s="9">
        <f t="shared" si="3"/>
        <v>0</v>
      </c>
      <c r="R28" s="9">
        <f t="shared" si="0"/>
        <v>0</v>
      </c>
    </row>
    <row r="29" spans="1:18" ht="51" x14ac:dyDescent="0.2">
      <c r="A29" s="537"/>
      <c r="B29" s="537"/>
      <c r="C29" s="537"/>
      <c r="D29" s="537"/>
      <c r="E29" s="545"/>
      <c r="F29" s="11" t="s">
        <v>67</v>
      </c>
      <c r="G29" s="6" t="s">
        <v>211</v>
      </c>
      <c r="H29" s="6">
        <v>1</v>
      </c>
      <c r="I29" s="537"/>
      <c r="J29" s="10"/>
      <c r="K29" s="10"/>
      <c r="L29" s="10"/>
      <c r="M29" s="10"/>
      <c r="N29" s="9">
        <f t="shared" si="4"/>
        <v>0</v>
      </c>
      <c r="O29" s="9">
        <f t="shared" si="1"/>
        <v>0</v>
      </c>
      <c r="P29" s="9">
        <f t="shared" si="2"/>
        <v>0</v>
      </c>
      <c r="Q29" s="9">
        <f t="shared" si="3"/>
        <v>0</v>
      </c>
      <c r="R29" s="9">
        <f t="shared" si="0"/>
        <v>0</v>
      </c>
    </row>
    <row r="30" spans="1:18" ht="51" x14ac:dyDescent="0.2">
      <c r="A30" s="537"/>
      <c r="B30" s="537"/>
      <c r="C30" s="537"/>
      <c r="D30" s="537"/>
      <c r="E30" s="545"/>
      <c r="F30" s="11" t="s">
        <v>68</v>
      </c>
      <c r="G30" s="6" t="s">
        <v>211</v>
      </c>
      <c r="H30" s="6">
        <v>1</v>
      </c>
      <c r="I30" s="537"/>
      <c r="J30" s="10"/>
      <c r="K30" s="10"/>
      <c r="L30" s="10"/>
      <c r="M30" s="10"/>
      <c r="N30" s="9">
        <f t="shared" si="4"/>
        <v>0</v>
      </c>
      <c r="O30" s="9">
        <f t="shared" si="1"/>
        <v>0</v>
      </c>
      <c r="P30" s="9">
        <f t="shared" si="2"/>
        <v>0</v>
      </c>
      <c r="Q30" s="9">
        <f t="shared" si="3"/>
        <v>0</v>
      </c>
      <c r="R30" s="9">
        <f t="shared" si="0"/>
        <v>0</v>
      </c>
    </row>
    <row r="31" spans="1:18" ht="51" x14ac:dyDescent="0.2">
      <c r="A31" s="537"/>
      <c r="B31" s="537"/>
      <c r="C31" s="537"/>
      <c r="D31" s="537"/>
      <c r="E31" s="545"/>
      <c r="F31" s="11" t="s">
        <v>69</v>
      </c>
      <c r="G31" s="6" t="s">
        <v>211</v>
      </c>
      <c r="H31" s="6">
        <v>1</v>
      </c>
      <c r="I31" s="537"/>
      <c r="J31" s="10"/>
      <c r="K31" s="10"/>
      <c r="L31" s="10"/>
      <c r="M31" s="10"/>
      <c r="N31" s="9">
        <f t="shared" si="4"/>
        <v>0</v>
      </c>
      <c r="O31" s="9">
        <f t="shared" si="1"/>
        <v>0</v>
      </c>
      <c r="P31" s="9">
        <f t="shared" si="2"/>
        <v>0</v>
      </c>
      <c r="Q31" s="9">
        <f t="shared" si="3"/>
        <v>0</v>
      </c>
      <c r="R31" s="9">
        <f t="shared" si="0"/>
        <v>0</v>
      </c>
    </row>
    <row r="32" spans="1:18" ht="51" x14ac:dyDescent="0.2">
      <c r="A32" s="537"/>
      <c r="B32" s="537"/>
      <c r="C32" s="537"/>
      <c r="D32" s="537"/>
      <c r="E32" s="545"/>
      <c r="F32" s="11" t="s">
        <v>70</v>
      </c>
      <c r="G32" s="6" t="s">
        <v>211</v>
      </c>
      <c r="H32" s="6">
        <v>1</v>
      </c>
      <c r="I32" s="537"/>
      <c r="J32" s="10"/>
      <c r="K32" s="10"/>
      <c r="L32" s="10"/>
      <c r="M32" s="10"/>
      <c r="N32" s="9">
        <f t="shared" si="4"/>
        <v>0</v>
      </c>
      <c r="O32" s="9">
        <f t="shared" si="1"/>
        <v>0</v>
      </c>
      <c r="P32" s="9">
        <f t="shared" si="2"/>
        <v>0</v>
      </c>
      <c r="Q32" s="9">
        <f t="shared" si="3"/>
        <v>0</v>
      </c>
      <c r="R32" s="9">
        <f t="shared" si="0"/>
        <v>0</v>
      </c>
    </row>
    <row r="33" spans="1:18" ht="51" x14ac:dyDescent="0.2">
      <c r="A33" s="537"/>
      <c r="B33" s="537"/>
      <c r="C33" s="537"/>
      <c r="D33" s="537"/>
      <c r="E33" s="545"/>
      <c r="F33" s="11" t="s">
        <v>71</v>
      </c>
      <c r="G33" s="6" t="s">
        <v>211</v>
      </c>
      <c r="H33" s="6">
        <v>1</v>
      </c>
      <c r="I33" s="537"/>
      <c r="J33" s="10"/>
      <c r="K33" s="10"/>
      <c r="L33" s="10"/>
      <c r="M33" s="10"/>
      <c r="N33" s="9">
        <f t="shared" si="4"/>
        <v>0</v>
      </c>
      <c r="O33" s="9">
        <f t="shared" si="1"/>
        <v>0</v>
      </c>
      <c r="P33" s="9">
        <f t="shared" si="2"/>
        <v>0</v>
      </c>
      <c r="Q33" s="9">
        <f t="shared" si="3"/>
        <v>0</v>
      </c>
      <c r="R33" s="9">
        <f t="shared" si="0"/>
        <v>0</v>
      </c>
    </row>
    <row r="34" spans="1:18" ht="51" x14ac:dyDescent="0.2">
      <c r="A34" s="537"/>
      <c r="B34" s="537"/>
      <c r="C34" s="537"/>
      <c r="D34" s="537"/>
      <c r="E34" s="545"/>
      <c r="F34" s="11" t="s">
        <v>72</v>
      </c>
      <c r="G34" s="6" t="s">
        <v>211</v>
      </c>
      <c r="H34" s="6">
        <v>1</v>
      </c>
      <c r="I34" s="537"/>
      <c r="J34" s="10"/>
      <c r="K34" s="10"/>
      <c r="L34" s="10"/>
      <c r="M34" s="10"/>
      <c r="N34" s="9">
        <f t="shared" si="4"/>
        <v>0</v>
      </c>
      <c r="O34" s="9">
        <f t="shared" si="1"/>
        <v>0</v>
      </c>
      <c r="P34" s="9">
        <f t="shared" si="2"/>
        <v>0</v>
      </c>
      <c r="Q34" s="9">
        <f t="shared" si="3"/>
        <v>0</v>
      </c>
      <c r="R34" s="9">
        <f t="shared" si="0"/>
        <v>0</v>
      </c>
    </row>
    <row r="35" spans="1:18" ht="51" x14ac:dyDescent="0.2">
      <c r="A35" s="537"/>
      <c r="B35" s="537"/>
      <c r="C35" s="537"/>
      <c r="D35" s="537"/>
      <c r="E35" s="545"/>
      <c r="F35" s="11" t="s">
        <v>73</v>
      </c>
      <c r="G35" s="6" t="s">
        <v>211</v>
      </c>
      <c r="H35" s="6">
        <v>1</v>
      </c>
      <c r="I35" s="537"/>
      <c r="J35" s="10"/>
      <c r="K35" s="10"/>
      <c r="L35" s="10"/>
      <c r="M35" s="10"/>
      <c r="N35" s="9">
        <f t="shared" si="4"/>
        <v>0</v>
      </c>
      <c r="O35" s="9">
        <f t="shared" si="1"/>
        <v>0</v>
      </c>
      <c r="P35" s="9">
        <f t="shared" si="2"/>
        <v>0</v>
      </c>
      <c r="Q35" s="9">
        <f t="shared" si="3"/>
        <v>0</v>
      </c>
      <c r="R35" s="9">
        <f t="shared" si="0"/>
        <v>0</v>
      </c>
    </row>
    <row r="36" spans="1:18" ht="51" x14ac:dyDescent="0.2">
      <c r="A36" s="537"/>
      <c r="B36" s="537"/>
      <c r="C36" s="537"/>
      <c r="D36" s="537"/>
      <c r="E36" s="545"/>
      <c r="F36" s="11" t="s">
        <v>74</v>
      </c>
      <c r="G36" s="6" t="s">
        <v>211</v>
      </c>
      <c r="H36" s="6">
        <v>1</v>
      </c>
      <c r="I36" s="537"/>
      <c r="J36" s="10"/>
      <c r="K36" s="10"/>
      <c r="L36" s="10"/>
      <c r="M36" s="10"/>
      <c r="N36" s="9">
        <f t="shared" si="4"/>
        <v>0</v>
      </c>
      <c r="O36" s="9">
        <f t="shared" si="1"/>
        <v>0</v>
      </c>
      <c r="P36" s="9">
        <f t="shared" si="2"/>
        <v>0</v>
      </c>
      <c r="Q36" s="9">
        <f t="shared" si="3"/>
        <v>0</v>
      </c>
      <c r="R36" s="9">
        <f t="shared" si="0"/>
        <v>0</v>
      </c>
    </row>
    <row r="37" spans="1:18" ht="51" x14ac:dyDescent="0.2">
      <c r="A37" s="538"/>
      <c r="B37" s="538"/>
      <c r="C37" s="538"/>
      <c r="D37" s="538"/>
      <c r="E37" s="546"/>
      <c r="F37" s="11" t="s">
        <v>75</v>
      </c>
      <c r="G37" s="6" t="s">
        <v>211</v>
      </c>
      <c r="H37" s="6">
        <v>1</v>
      </c>
      <c r="I37" s="538"/>
      <c r="J37" s="10"/>
      <c r="K37" s="10"/>
      <c r="L37" s="10"/>
      <c r="M37" s="10"/>
      <c r="N37" s="9">
        <f t="shared" si="4"/>
        <v>0</v>
      </c>
      <c r="O37" s="9">
        <f t="shared" si="1"/>
        <v>0</v>
      </c>
      <c r="P37" s="9">
        <f t="shared" si="2"/>
        <v>0</v>
      </c>
      <c r="Q37" s="9">
        <f t="shared" si="3"/>
        <v>0</v>
      </c>
      <c r="R37" s="9">
        <f t="shared" si="0"/>
        <v>0</v>
      </c>
    </row>
    <row r="38" spans="1:18" ht="66.75" customHeight="1" x14ac:dyDescent="0.2">
      <c r="A38" s="541" t="s">
        <v>76</v>
      </c>
      <c r="B38" s="541" t="s">
        <v>77</v>
      </c>
      <c r="C38" s="12" t="s">
        <v>78</v>
      </c>
      <c r="D38" s="11" t="s">
        <v>79</v>
      </c>
      <c r="E38" s="6">
        <v>0.85</v>
      </c>
      <c r="F38" s="11" t="s">
        <v>80</v>
      </c>
      <c r="G38" s="41" t="s">
        <v>39</v>
      </c>
      <c r="H38" s="6">
        <v>1</v>
      </c>
      <c r="I38" s="11" t="s">
        <v>81</v>
      </c>
      <c r="J38" s="7"/>
      <c r="K38" s="7"/>
      <c r="L38" s="13"/>
      <c r="M38" s="10"/>
      <c r="N38" s="9">
        <f>IFERROR((J38*100%)/H38,"-")</f>
        <v>0</v>
      </c>
      <c r="O38" s="9">
        <f t="shared" si="1"/>
        <v>0</v>
      </c>
      <c r="P38" s="9">
        <f t="shared" si="2"/>
        <v>0</v>
      </c>
      <c r="Q38" s="9">
        <f t="shared" si="3"/>
        <v>0</v>
      </c>
      <c r="R38" s="9">
        <f t="shared" si="0"/>
        <v>0</v>
      </c>
    </row>
    <row r="39" spans="1:18" ht="53.25" customHeight="1" x14ac:dyDescent="0.2">
      <c r="A39" s="542"/>
      <c r="B39" s="542"/>
      <c r="C39" s="12" t="s">
        <v>82</v>
      </c>
      <c r="D39" s="11" t="s">
        <v>83</v>
      </c>
      <c r="E39" s="6">
        <v>0.75</v>
      </c>
      <c r="F39" s="11" t="s">
        <v>84</v>
      </c>
      <c r="G39" s="41" t="s">
        <v>39</v>
      </c>
      <c r="H39" s="6">
        <v>0.75</v>
      </c>
      <c r="I39" s="11" t="s">
        <v>81</v>
      </c>
      <c r="J39" s="7"/>
      <c r="K39" s="7"/>
      <c r="L39" s="13"/>
      <c r="M39" s="10"/>
      <c r="N39" s="9">
        <f t="shared" ref="N39:N42" si="5">IFERROR((J39*100%)/H39,"-")</f>
        <v>0</v>
      </c>
      <c r="O39" s="9">
        <f t="shared" si="1"/>
        <v>0</v>
      </c>
      <c r="P39" s="9">
        <f t="shared" si="2"/>
        <v>0</v>
      </c>
      <c r="Q39" s="9">
        <f t="shared" si="3"/>
        <v>0</v>
      </c>
      <c r="R39" s="9">
        <f t="shared" si="0"/>
        <v>0</v>
      </c>
    </row>
    <row r="40" spans="1:18" ht="75" customHeight="1" x14ac:dyDescent="0.2">
      <c r="A40" s="542"/>
      <c r="B40" s="542"/>
      <c r="C40" s="536" t="s">
        <v>85</v>
      </c>
      <c r="D40" s="536" t="s">
        <v>86</v>
      </c>
      <c r="E40" s="544">
        <v>0.4</v>
      </c>
      <c r="F40" s="14" t="s">
        <v>87</v>
      </c>
      <c r="G40" s="41" t="s">
        <v>88</v>
      </c>
      <c r="H40" s="6"/>
      <c r="I40" s="536" t="s">
        <v>89</v>
      </c>
      <c r="J40" s="7"/>
      <c r="K40" s="7"/>
      <c r="L40" s="7"/>
      <c r="M40" s="10"/>
      <c r="N40" s="39" t="str">
        <f t="shared" si="5"/>
        <v>-</v>
      </c>
      <c r="O40" s="39" t="str">
        <f t="shared" si="1"/>
        <v>-</v>
      </c>
      <c r="P40" s="39" t="str">
        <f t="shared" si="2"/>
        <v>-</v>
      </c>
      <c r="Q40" s="39" t="str">
        <f t="shared" si="3"/>
        <v>-</v>
      </c>
      <c r="R40" s="39" t="str">
        <f t="shared" si="0"/>
        <v>-</v>
      </c>
    </row>
    <row r="41" spans="1:18" ht="70.5" customHeight="1" x14ac:dyDescent="0.2">
      <c r="A41" s="542"/>
      <c r="B41" s="542"/>
      <c r="C41" s="537"/>
      <c r="D41" s="537"/>
      <c r="E41" s="545"/>
      <c r="F41" s="11" t="s">
        <v>90</v>
      </c>
      <c r="G41" s="11" t="s">
        <v>91</v>
      </c>
      <c r="H41" s="6"/>
      <c r="I41" s="537"/>
      <c r="J41" s="7"/>
      <c r="K41" s="7"/>
      <c r="L41" s="7"/>
      <c r="M41" s="10"/>
      <c r="N41" s="39" t="str">
        <f t="shared" si="5"/>
        <v>-</v>
      </c>
      <c r="O41" s="39" t="str">
        <f t="shared" si="1"/>
        <v>-</v>
      </c>
      <c r="P41" s="39" t="str">
        <f t="shared" si="2"/>
        <v>-</v>
      </c>
      <c r="Q41" s="39" t="str">
        <f t="shared" si="3"/>
        <v>-</v>
      </c>
      <c r="R41" s="39" t="str">
        <f t="shared" si="0"/>
        <v>-</v>
      </c>
    </row>
    <row r="42" spans="1:18" ht="74.25" customHeight="1" x14ac:dyDescent="0.2">
      <c r="A42" s="542"/>
      <c r="B42" s="542"/>
      <c r="C42" s="538"/>
      <c r="D42" s="538"/>
      <c r="E42" s="546"/>
      <c r="F42" s="11" t="s">
        <v>92</v>
      </c>
      <c r="G42" s="11" t="s">
        <v>93</v>
      </c>
      <c r="H42" s="6"/>
      <c r="I42" s="538"/>
      <c r="J42" s="7"/>
      <c r="K42" s="7"/>
      <c r="L42" s="7"/>
      <c r="M42" s="10"/>
      <c r="N42" s="39" t="str">
        <f t="shared" si="5"/>
        <v>-</v>
      </c>
      <c r="O42" s="39" t="str">
        <f t="shared" si="1"/>
        <v>-</v>
      </c>
      <c r="P42" s="39" t="str">
        <f t="shared" si="2"/>
        <v>-</v>
      </c>
      <c r="Q42" s="39" t="str">
        <f t="shared" si="3"/>
        <v>-</v>
      </c>
      <c r="R42" s="39" t="str">
        <f t="shared" si="0"/>
        <v>-</v>
      </c>
    </row>
    <row r="43" spans="1:18" ht="39" customHeight="1" x14ac:dyDescent="0.2">
      <c r="A43" s="543"/>
      <c r="B43" s="543"/>
      <c r="C43" s="12" t="s">
        <v>94</v>
      </c>
      <c r="D43" s="11" t="s">
        <v>95</v>
      </c>
      <c r="E43" s="6" t="s">
        <v>96</v>
      </c>
      <c r="F43" s="15" t="s">
        <v>97</v>
      </c>
      <c r="G43" s="15" t="s">
        <v>98</v>
      </c>
      <c r="H43" s="16">
        <v>72.3</v>
      </c>
      <c r="I43" s="11" t="s">
        <v>99</v>
      </c>
      <c r="J43" s="7" t="s">
        <v>100</v>
      </c>
      <c r="K43" s="7" t="s">
        <v>100</v>
      </c>
      <c r="L43" s="7" t="s">
        <v>100</v>
      </c>
      <c r="M43" s="16"/>
      <c r="N43" s="39" t="str">
        <f>IFERROR((J43*100%)/H43,"-")</f>
        <v>-</v>
      </c>
      <c r="O43" s="39" t="str">
        <f t="shared" si="1"/>
        <v>-</v>
      </c>
      <c r="P43" s="39" t="str">
        <f t="shared" si="2"/>
        <v>-</v>
      </c>
      <c r="Q43" s="39" t="str">
        <f>IF(M43&gt;H43,1,"-")</f>
        <v>-</v>
      </c>
      <c r="R43" s="39" t="str">
        <f t="shared" si="0"/>
        <v>-</v>
      </c>
    </row>
    <row r="44" spans="1:18" ht="100.5" customHeight="1" x14ac:dyDescent="0.2">
      <c r="A44" s="541" t="s">
        <v>101</v>
      </c>
      <c r="B44" s="541" t="s">
        <v>102</v>
      </c>
      <c r="C44" s="541" t="s">
        <v>103</v>
      </c>
      <c r="D44" s="536" t="s">
        <v>104</v>
      </c>
      <c r="E44" s="544">
        <v>0.6</v>
      </c>
      <c r="F44" s="11" t="s">
        <v>105</v>
      </c>
      <c r="G44" s="41" t="s">
        <v>106</v>
      </c>
      <c r="H44" s="6">
        <v>0.8</v>
      </c>
      <c r="I44" s="536" t="s">
        <v>107</v>
      </c>
      <c r="J44" s="7"/>
      <c r="K44" s="7"/>
      <c r="L44" s="7"/>
      <c r="M44" s="7"/>
      <c r="N44" s="9">
        <f>IFERROR((J44*100%)/H44,"-")</f>
        <v>0</v>
      </c>
      <c r="O44" s="9">
        <f t="shared" si="1"/>
        <v>0</v>
      </c>
      <c r="P44" s="9">
        <f t="shared" si="2"/>
        <v>0</v>
      </c>
      <c r="Q44" s="9">
        <f>IFERROR((M44*100%)/H44,"-")</f>
        <v>0</v>
      </c>
      <c r="R44" s="9">
        <f t="shared" si="0"/>
        <v>0</v>
      </c>
    </row>
    <row r="45" spans="1:18" ht="112.5" customHeight="1" x14ac:dyDescent="0.2">
      <c r="A45" s="542"/>
      <c r="B45" s="542"/>
      <c r="C45" s="542"/>
      <c r="D45" s="537"/>
      <c r="E45" s="545"/>
      <c r="F45" s="11" t="s">
        <v>108</v>
      </c>
      <c r="G45" s="41" t="s">
        <v>109</v>
      </c>
      <c r="H45" s="6">
        <v>0.8</v>
      </c>
      <c r="I45" s="537"/>
      <c r="J45" s="7"/>
      <c r="K45" s="7"/>
      <c r="L45" s="7"/>
      <c r="M45" s="7"/>
      <c r="N45" s="9">
        <f t="shared" ref="N45" si="6">IFERROR((J45*100%)/H45,"-")</f>
        <v>0</v>
      </c>
      <c r="O45" s="9">
        <f t="shared" si="1"/>
        <v>0</v>
      </c>
      <c r="P45" s="9">
        <f t="shared" si="2"/>
        <v>0</v>
      </c>
      <c r="Q45" s="9">
        <f>IFERROR((M45*100%)/H45,"-")</f>
        <v>0</v>
      </c>
      <c r="R45" s="9">
        <f t="shared" si="0"/>
        <v>0</v>
      </c>
    </row>
    <row r="46" spans="1:18" ht="39" customHeight="1" x14ac:dyDescent="0.2">
      <c r="A46" s="542"/>
      <c r="B46" s="542"/>
      <c r="C46" s="543"/>
      <c r="D46" s="538"/>
      <c r="E46" s="546"/>
      <c r="F46" s="11" t="s">
        <v>110</v>
      </c>
      <c r="G46" s="41" t="s">
        <v>111</v>
      </c>
      <c r="H46" s="6" t="s">
        <v>112</v>
      </c>
      <c r="I46" s="538"/>
      <c r="J46" s="17"/>
      <c r="K46" s="17"/>
      <c r="L46" s="17"/>
      <c r="M46" s="18"/>
      <c r="N46" s="39" t="str">
        <f>IF((J46*100%)&gt;=1,1,"-")</f>
        <v>-</v>
      </c>
      <c r="O46" s="39" t="str">
        <f t="shared" ref="O46:Q46" si="7">IF((K46*100%)&gt;=1,1,"-")</f>
        <v>-</v>
      </c>
      <c r="P46" s="39" t="str">
        <f t="shared" si="7"/>
        <v>-</v>
      </c>
      <c r="Q46" s="39" t="str">
        <f t="shared" si="7"/>
        <v>-</v>
      </c>
      <c r="R46" s="39" t="str">
        <f t="shared" si="0"/>
        <v>-</v>
      </c>
    </row>
    <row r="47" spans="1:18" ht="66.75" customHeight="1" x14ac:dyDescent="0.2">
      <c r="A47" s="542"/>
      <c r="B47" s="542"/>
      <c r="C47" s="541" t="s">
        <v>113</v>
      </c>
      <c r="D47" s="536" t="s">
        <v>114</v>
      </c>
      <c r="E47" s="544">
        <v>0.3</v>
      </c>
      <c r="F47" s="11" t="s">
        <v>115</v>
      </c>
      <c r="G47" s="41" t="s">
        <v>116</v>
      </c>
      <c r="H47" s="6">
        <v>0.9</v>
      </c>
      <c r="I47" s="536" t="s">
        <v>117</v>
      </c>
      <c r="J47" s="7"/>
      <c r="K47" s="7"/>
      <c r="L47" s="7"/>
      <c r="M47" s="7"/>
      <c r="N47" s="9">
        <f>IFERROR((J47*100%)/H47,"-")</f>
        <v>0</v>
      </c>
      <c r="O47" s="9">
        <f>IFERROR((K47*100%)/H47,"-")</f>
        <v>0</v>
      </c>
      <c r="P47" s="9">
        <f>IFERROR((L47*100%)/H47,"-")</f>
        <v>0</v>
      </c>
      <c r="Q47" s="9">
        <f>IFERROR((M47*100%)/H47,"-")</f>
        <v>0</v>
      </c>
      <c r="R47" s="9">
        <f t="shared" si="0"/>
        <v>0</v>
      </c>
    </row>
    <row r="48" spans="1:18" ht="91.5" customHeight="1" x14ac:dyDescent="0.2">
      <c r="A48" s="542"/>
      <c r="B48" s="542"/>
      <c r="C48" s="542"/>
      <c r="D48" s="537"/>
      <c r="E48" s="545"/>
      <c r="F48" s="11" t="s">
        <v>118</v>
      </c>
      <c r="G48" s="41" t="s">
        <v>119</v>
      </c>
      <c r="H48" s="6">
        <v>0.9</v>
      </c>
      <c r="I48" s="537"/>
      <c r="J48" s="7"/>
      <c r="K48" s="7"/>
      <c r="L48" s="7"/>
      <c r="M48" s="7"/>
      <c r="N48" s="9">
        <f t="shared" ref="N48:N50" si="8">IFERROR((J48*100%)/H48,"-")</f>
        <v>0</v>
      </c>
      <c r="O48" s="9">
        <f>IFERROR((K48*100%)/H48,"-")</f>
        <v>0</v>
      </c>
      <c r="P48" s="9">
        <f>IFERROR((L48*100%)/H48,"-")</f>
        <v>0</v>
      </c>
      <c r="Q48" s="9">
        <f>IFERROR((M48*100%)/H48,"-")</f>
        <v>0</v>
      </c>
      <c r="R48" s="9">
        <f t="shared" si="0"/>
        <v>0</v>
      </c>
    </row>
    <row r="49" spans="1:18" ht="39" customHeight="1" x14ac:dyDescent="0.2">
      <c r="A49" s="542"/>
      <c r="B49" s="542"/>
      <c r="C49" s="542"/>
      <c r="D49" s="537"/>
      <c r="E49" s="545"/>
      <c r="F49" s="19" t="s">
        <v>120</v>
      </c>
      <c r="G49" s="41" t="s">
        <v>121</v>
      </c>
      <c r="H49" s="6">
        <v>0.9</v>
      </c>
      <c r="I49" s="537"/>
      <c r="J49" s="7"/>
      <c r="K49" s="7"/>
      <c r="L49" s="7"/>
      <c r="M49" s="7"/>
      <c r="N49" s="9">
        <f t="shared" si="8"/>
        <v>0</v>
      </c>
      <c r="O49" s="9">
        <f>IFERROR((K49*100%)/H49,"-")</f>
        <v>0</v>
      </c>
      <c r="P49" s="9">
        <f>IFERROR((L49*100%)/H49,"-")</f>
        <v>0</v>
      </c>
      <c r="Q49" s="9">
        <f>IFERROR((M49*100%)/H49,"-")</f>
        <v>0</v>
      </c>
      <c r="R49" s="9">
        <f t="shared" si="0"/>
        <v>0</v>
      </c>
    </row>
    <row r="50" spans="1:18" ht="39" customHeight="1" x14ac:dyDescent="0.2">
      <c r="A50" s="542"/>
      <c r="B50" s="542"/>
      <c r="C50" s="542"/>
      <c r="D50" s="537"/>
      <c r="E50" s="545"/>
      <c r="F50" s="19" t="s">
        <v>122</v>
      </c>
      <c r="G50" s="41" t="s">
        <v>121</v>
      </c>
      <c r="H50" s="6">
        <v>0.9</v>
      </c>
      <c r="I50" s="537"/>
      <c r="J50" s="7"/>
      <c r="K50" s="7"/>
      <c r="L50" s="7"/>
      <c r="M50" s="7"/>
      <c r="N50" s="9">
        <f t="shared" si="8"/>
        <v>0</v>
      </c>
      <c r="O50" s="9">
        <f>IFERROR((K50*100%)/H50,"-")</f>
        <v>0</v>
      </c>
      <c r="P50" s="9">
        <f>IFERROR((L50*100%)/H50,"-")</f>
        <v>0</v>
      </c>
      <c r="Q50" s="9">
        <f>IFERROR((M50*100%)/H50,"-")</f>
        <v>0</v>
      </c>
      <c r="R50" s="9">
        <f t="shared" si="0"/>
        <v>0</v>
      </c>
    </row>
    <row r="51" spans="1:18" ht="39" customHeight="1" x14ac:dyDescent="0.2">
      <c r="A51" s="542"/>
      <c r="B51" s="542"/>
      <c r="C51" s="543"/>
      <c r="D51" s="538"/>
      <c r="E51" s="546"/>
      <c r="F51" s="19" t="s">
        <v>123</v>
      </c>
      <c r="G51" s="41" t="s">
        <v>121</v>
      </c>
      <c r="H51" s="6">
        <v>0.9</v>
      </c>
      <c r="I51" s="538"/>
      <c r="J51" s="7"/>
      <c r="K51" s="7"/>
      <c r="L51" s="7"/>
      <c r="M51" s="7"/>
      <c r="N51" s="9">
        <f>IFERROR((J51*100%)/H51,"-")</f>
        <v>0</v>
      </c>
      <c r="O51" s="9">
        <f>IFERROR((K51*100%)/H51,"-")</f>
        <v>0</v>
      </c>
      <c r="P51" s="9">
        <f>IFERROR((L51*100%)/H51,"-")</f>
        <v>0</v>
      </c>
      <c r="Q51" s="9">
        <f>IFERROR((M51*100%)/H51,"-")</f>
        <v>0</v>
      </c>
      <c r="R51" s="9">
        <f t="shared" si="0"/>
        <v>0</v>
      </c>
    </row>
    <row r="52" spans="1:18" ht="72" customHeight="1" x14ac:dyDescent="0.2">
      <c r="A52" s="542"/>
      <c r="B52" s="542"/>
      <c r="C52" s="547" t="s">
        <v>124</v>
      </c>
      <c r="D52" s="536" t="s">
        <v>125</v>
      </c>
      <c r="E52" s="544">
        <v>0.6</v>
      </c>
      <c r="F52" s="19" t="s">
        <v>126</v>
      </c>
      <c r="G52" s="40" t="s">
        <v>127</v>
      </c>
      <c r="H52" s="6" t="s">
        <v>128</v>
      </c>
      <c r="I52" s="536" t="s">
        <v>129</v>
      </c>
      <c r="J52" s="7"/>
      <c r="K52" s="7"/>
      <c r="L52" s="7"/>
      <c r="M52" s="7"/>
      <c r="N52" s="39" t="str">
        <f>IF((J52*100%)=50%,1,"-")</f>
        <v>-</v>
      </c>
      <c r="O52" s="39" t="str">
        <f t="shared" ref="O52:Q52" si="9">IF((K52*100%)=50%,1,"-")</f>
        <v>-</v>
      </c>
      <c r="P52" s="39" t="str">
        <f t="shared" si="9"/>
        <v>-</v>
      </c>
      <c r="Q52" s="39" t="str">
        <f t="shared" si="9"/>
        <v>-</v>
      </c>
      <c r="R52" s="39" t="str">
        <f>IFERROR(AVERAGE(N52:Q52),"-")</f>
        <v>-</v>
      </c>
    </row>
    <row r="53" spans="1:18" ht="87" customHeight="1" x14ac:dyDescent="0.2">
      <c r="A53" s="542"/>
      <c r="B53" s="542"/>
      <c r="C53" s="548"/>
      <c r="D53" s="537"/>
      <c r="E53" s="545"/>
      <c r="F53" s="19" t="s">
        <v>130</v>
      </c>
      <c r="G53" s="40" t="s">
        <v>131</v>
      </c>
      <c r="H53" s="6" t="s">
        <v>132</v>
      </c>
      <c r="I53" s="537"/>
      <c r="J53" s="7"/>
      <c r="K53" s="7"/>
      <c r="L53" s="7"/>
      <c r="M53" s="7"/>
      <c r="N53" s="39" t="str">
        <f>IF((J53*100%)&gt;=80%,1,"-")</f>
        <v>-</v>
      </c>
      <c r="O53" s="39" t="str">
        <f t="shared" ref="O53:Q54" si="10">IF((K53*100%)&gt;=80%,1,"-")</f>
        <v>-</v>
      </c>
      <c r="P53" s="39" t="str">
        <f t="shared" si="10"/>
        <v>-</v>
      </c>
      <c r="Q53" s="39" t="str">
        <f t="shared" si="10"/>
        <v>-</v>
      </c>
      <c r="R53" s="39" t="str">
        <f t="shared" si="0"/>
        <v>-</v>
      </c>
    </row>
    <row r="54" spans="1:18" ht="86.25" customHeight="1" x14ac:dyDescent="0.2">
      <c r="A54" s="543"/>
      <c r="B54" s="543"/>
      <c r="C54" s="549"/>
      <c r="D54" s="538"/>
      <c r="E54" s="546"/>
      <c r="F54" s="19" t="s">
        <v>133</v>
      </c>
      <c r="G54" s="40" t="s">
        <v>134</v>
      </c>
      <c r="H54" s="6" t="s">
        <v>132</v>
      </c>
      <c r="I54" s="538"/>
      <c r="J54" s="7"/>
      <c r="K54" s="7"/>
      <c r="L54" s="7"/>
      <c r="M54" s="7"/>
      <c r="N54" s="39" t="str">
        <f>IF((J54*100%)&gt;=80%,1,"-")</f>
        <v>-</v>
      </c>
      <c r="O54" s="39" t="str">
        <f t="shared" si="10"/>
        <v>-</v>
      </c>
      <c r="P54" s="39" t="str">
        <f t="shared" si="10"/>
        <v>-</v>
      </c>
      <c r="Q54" s="39" t="str">
        <f t="shared" si="10"/>
        <v>-</v>
      </c>
      <c r="R54" s="39" t="str">
        <f t="shared" si="0"/>
        <v>-</v>
      </c>
    </row>
    <row r="55" spans="1:18" ht="78.75" customHeight="1" x14ac:dyDescent="0.2">
      <c r="A55" s="541" t="s">
        <v>135</v>
      </c>
      <c r="B55" s="547" t="s">
        <v>136</v>
      </c>
      <c r="C55" s="547" t="s">
        <v>137</v>
      </c>
      <c r="D55" s="536" t="s">
        <v>138</v>
      </c>
      <c r="E55" s="544">
        <v>0.4</v>
      </c>
      <c r="F55" s="19" t="s">
        <v>139</v>
      </c>
      <c r="G55" s="40" t="s">
        <v>140</v>
      </c>
      <c r="H55" s="6" t="s">
        <v>141</v>
      </c>
      <c r="I55" s="544" t="s">
        <v>142</v>
      </c>
      <c r="J55" s="7"/>
      <c r="K55" s="7"/>
      <c r="L55" s="7"/>
      <c r="M55" s="7"/>
      <c r="N55" s="39" t="str">
        <f>IF((J55*100%)&gt;=90%,1,"-")</f>
        <v>-</v>
      </c>
      <c r="O55" s="39" t="str">
        <f t="shared" ref="O55:Q55" si="11">IF((K55*100%)&gt;=90%,1,"-")</f>
        <v>-</v>
      </c>
      <c r="P55" s="39" t="str">
        <f t="shared" si="11"/>
        <v>-</v>
      </c>
      <c r="Q55" s="39" t="str">
        <f t="shared" si="11"/>
        <v>-</v>
      </c>
      <c r="R55" s="39" t="str">
        <f t="shared" si="0"/>
        <v>-</v>
      </c>
    </row>
    <row r="56" spans="1:18" ht="72" customHeight="1" x14ac:dyDescent="0.2">
      <c r="A56" s="543"/>
      <c r="B56" s="549"/>
      <c r="C56" s="549"/>
      <c r="D56" s="538"/>
      <c r="E56" s="546"/>
      <c r="F56" s="19" t="s">
        <v>143</v>
      </c>
      <c r="G56" s="40" t="s">
        <v>144</v>
      </c>
      <c r="H56" s="6">
        <v>0.3</v>
      </c>
      <c r="I56" s="546"/>
      <c r="J56" s="7"/>
      <c r="K56" s="7"/>
      <c r="L56" s="7"/>
      <c r="M56" s="7"/>
      <c r="N56" s="9">
        <f t="shared" ref="N56:N68" si="12">IFERROR((J56*100%)/H56,"-")</f>
        <v>0</v>
      </c>
      <c r="O56" s="9">
        <f t="shared" ref="O56:O61" si="13">IFERROR((K56*100%)/H56,"-")</f>
        <v>0</v>
      </c>
      <c r="P56" s="9">
        <f t="shared" ref="P56:P61" si="14">IFERROR((L56*100%)/H56,"-")</f>
        <v>0</v>
      </c>
      <c r="Q56" s="9">
        <f>IFERROR((M56*100%)/H56,"-")</f>
        <v>0</v>
      </c>
      <c r="R56" s="9">
        <f t="shared" si="0"/>
        <v>0</v>
      </c>
    </row>
    <row r="57" spans="1:18" ht="58.5" customHeight="1" x14ac:dyDescent="0.2">
      <c r="A57" s="541" t="s">
        <v>145</v>
      </c>
      <c r="B57" s="547" t="s">
        <v>146</v>
      </c>
      <c r="C57" s="20" t="s">
        <v>147</v>
      </c>
      <c r="D57" s="11" t="s">
        <v>148</v>
      </c>
      <c r="E57" s="6" t="s">
        <v>149</v>
      </c>
      <c r="F57" s="19" t="s">
        <v>150</v>
      </c>
      <c r="G57" s="42" t="s">
        <v>150</v>
      </c>
      <c r="H57" s="21">
        <v>1</v>
      </c>
      <c r="I57" s="6" t="s">
        <v>151</v>
      </c>
      <c r="J57" s="7" t="s">
        <v>100</v>
      </c>
      <c r="K57" s="7" t="s">
        <v>100</v>
      </c>
      <c r="L57" s="7" t="s">
        <v>100</v>
      </c>
      <c r="M57" s="22"/>
      <c r="N57" s="39" t="str">
        <f>IFERROR((J57*100%)/H57,"-")</f>
        <v>-</v>
      </c>
      <c r="O57" s="39" t="str">
        <f t="shared" si="13"/>
        <v>-</v>
      </c>
      <c r="P57" s="39" t="str">
        <f t="shared" si="14"/>
        <v>-</v>
      </c>
      <c r="Q57" s="39" t="str">
        <f>IF(M57=1,1,"-")</f>
        <v>-</v>
      </c>
      <c r="R57" s="39" t="str">
        <f t="shared" si="0"/>
        <v>-</v>
      </c>
    </row>
    <row r="58" spans="1:18" ht="39" customHeight="1" x14ac:dyDescent="0.2">
      <c r="A58" s="542"/>
      <c r="B58" s="548"/>
      <c r="C58" s="20" t="s">
        <v>152</v>
      </c>
      <c r="D58" s="11" t="s">
        <v>153</v>
      </c>
      <c r="E58" s="6" t="s">
        <v>154</v>
      </c>
      <c r="F58" s="19" t="s">
        <v>155</v>
      </c>
      <c r="G58" s="42" t="s">
        <v>155</v>
      </c>
      <c r="H58" s="21">
        <v>1</v>
      </c>
      <c r="I58" s="6" t="s">
        <v>156</v>
      </c>
      <c r="J58" s="7" t="s">
        <v>100</v>
      </c>
      <c r="K58" s="7" t="s">
        <v>100</v>
      </c>
      <c r="L58" s="7" t="s">
        <v>100</v>
      </c>
      <c r="M58" s="22"/>
      <c r="N58" s="39" t="str">
        <f t="shared" si="12"/>
        <v>-</v>
      </c>
      <c r="O58" s="39" t="str">
        <f t="shared" si="13"/>
        <v>-</v>
      </c>
      <c r="P58" s="39" t="str">
        <f t="shared" si="14"/>
        <v>-</v>
      </c>
      <c r="Q58" s="39" t="str">
        <f>IF(M58=1,1,"-")</f>
        <v>-</v>
      </c>
      <c r="R58" s="39" t="str">
        <f t="shared" si="0"/>
        <v>-</v>
      </c>
    </row>
    <row r="59" spans="1:18" ht="39" customHeight="1" x14ac:dyDescent="0.2">
      <c r="A59" s="542"/>
      <c r="B59" s="548"/>
      <c r="C59" s="20" t="s">
        <v>157</v>
      </c>
      <c r="D59" s="11" t="s">
        <v>158</v>
      </c>
      <c r="E59" s="6" t="s">
        <v>100</v>
      </c>
      <c r="F59" s="19" t="s">
        <v>159</v>
      </c>
      <c r="G59" s="42" t="s">
        <v>159</v>
      </c>
      <c r="H59" s="21">
        <v>1</v>
      </c>
      <c r="I59" s="6" t="s">
        <v>160</v>
      </c>
      <c r="J59" s="7" t="s">
        <v>100</v>
      </c>
      <c r="K59" s="7" t="s">
        <v>100</v>
      </c>
      <c r="L59" s="7" t="s">
        <v>100</v>
      </c>
      <c r="M59" s="22"/>
      <c r="N59" s="39" t="str">
        <f t="shared" si="12"/>
        <v>-</v>
      </c>
      <c r="O59" s="39" t="str">
        <f t="shared" si="13"/>
        <v>-</v>
      </c>
      <c r="P59" s="39" t="str">
        <f t="shared" si="14"/>
        <v>-</v>
      </c>
      <c r="Q59" s="39" t="str">
        <f>IF(M59=1,1,"-")</f>
        <v>-</v>
      </c>
      <c r="R59" s="39" t="str">
        <f t="shared" si="0"/>
        <v>-</v>
      </c>
    </row>
    <row r="60" spans="1:18" ht="39" customHeight="1" x14ac:dyDescent="0.2">
      <c r="A60" s="542"/>
      <c r="B60" s="548"/>
      <c r="C60" s="547" t="s">
        <v>161</v>
      </c>
      <c r="D60" s="11" t="s">
        <v>162</v>
      </c>
      <c r="E60" s="6" t="s">
        <v>154</v>
      </c>
      <c r="F60" s="19" t="s">
        <v>163</v>
      </c>
      <c r="G60" s="42" t="s">
        <v>163</v>
      </c>
      <c r="H60" s="21">
        <v>1</v>
      </c>
      <c r="I60" s="544" t="s">
        <v>164</v>
      </c>
      <c r="J60" s="7" t="s">
        <v>100</v>
      </c>
      <c r="K60" s="7" t="s">
        <v>100</v>
      </c>
      <c r="L60" s="7" t="s">
        <v>100</v>
      </c>
      <c r="M60" s="22"/>
      <c r="N60" s="39" t="str">
        <f t="shared" si="12"/>
        <v>-</v>
      </c>
      <c r="O60" s="39" t="str">
        <f t="shared" si="13"/>
        <v>-</v>
      </c>
      <c r="P60" s="39" t="str">
        <f t="shared" si="14"/>
        <v>-</v>
      </c>
      <c r="Q60" s="39" t="str">
        <f>IF(M60=1,1,"-")</f>
        <v>-</v>
      </c>
      <c r="R60" s="39" t="str">
        <f t="shared" si="0"/>
        <v>-</v>
      </c>
    </row>
    <row r="61" spans="1:18" ht="39" customHeight="1" x14ac:dyDescent="0.2">
      <c r="A61" s="543"/>
      <c r="B61" s="549"/>
      <c r="C61" s="549"/>
      <c r="D61" s="11" t="s">
        <v>165</v>
      </c>
      <c r="E61" s="6" t="s">
        <v>149</v>
      </c>
      <c r="F61" s="19" t="s">
        <v>166</v>
      </c>
      <c r="G61" s="42" t="s">
        <v>166</v>
      </c>
      <c r="H61" s="21">
        <v>1</v>
      </c>
      <c r="I61" s="546"/>
      <c r="J61" s="7" t="s">
        <v>100</v>
      </c>
      <c r="K61" s="7" t="s">
        <v>100</v>
      </c>
      <c r="L61" s="7" t="s">
        <v>100</v>
      </c>
      <c r="M61" s="22"/>
      <c r="N61" s="39" t="str">
        <f t="shared" si="12"/>
        <v>-</v>
      </c>
      <c r="O61" s="39" t="str">
        <f t="shared" si="13"/>
        <v>-</v>
      </c>
      <c r="P61" s="39" t="str">
        <f t="shared" si="14"/>
        <v>-</v>
      </c>
      <c r="Q61" s="39" t="str">
        <f>IF(M61=1,1,"-")</f>
        <v>-</v>
      </c>
      <c r="R61" s="39" t="str">
        <f t="shared" si="0"/>
        <v>-</v>
      </c>
    </row>
    <row r="62" spans="1:18" ht="84" customHeight="1" x14ac:dyDescent="0.2">
      <c r="A62" s="541" t="s">
        <v>167</v>
      </c>
      <c r="B62" s="547" t="s">
        <v>168</v>
      </c>
      <c r="C62" s="547" t="s">
        <v>169</v>
      </c>
      <c r="D62" s="536" t="s">
        <v>170</v>
      </c>
      <c r="E62" s="544">
        <v>0.5</v>
      </c>
      <c r="F62" s="19" t="s">
        <v>171</v>
      </c>
      <c r="G62" s="40" t="s">
        <v>172</v>
      </c>
      <c r="H62" s="6" t="s">
        <v>173</v>
      </c>
      <c r="I62" s="544" t="s">
        <v>174</v>
      </c>
      <c r="J62" s="7" t="s">
        <v>100</v>
      </c>
      <c r="K62" s="7" t="s">
        <v>100</v>
      </c>
      <c r="L62" s="7" t="s">
        <v>100</v>
      </c>
      <c r="M62" s="10"/>
      <c r="N62" s="39" t="e">
        <f>IF((J62*100%)&gt;=1%,1,"-")</f>
        <v>#VALUE!</v>
      </c>
      <c r="O62" s="39" t="e">
        <f t="shared" ref="O62:Q62" si="15">IF((K62*100%)&gt;=1%,1,"-")</f>
        <v>#VALUE!</v>
      </c>
      <c r="P62" s="39" t="e">
        <f t="shared" si="15"/>
        <v>#VALUE!</v>
      </c>
      <c r="Q62" s="39" t="str">
        <f t="shared" si="15"/>
        <v>-</v>
      </c>
      <c r="R62" s="39" t="str">
        <f t="shared" si="0"/>
        <v>-</v>
      </c>
    </row>
    <row r="63" spans="1:18" ht="39" customHeight="1" x14ac:dyDescent="0.2">
      <c r="A63" s="542"/>
      <c r="B63" s="548"/>
      <c r="C63" s="548"/>
      <c r="D63" s="537"/>
      <c r="E63" s="545"/>
      <c r="F63" s="19" t="s">
        <v>175</v>
      </c>
      <c r="G63" s="40" t="s">
        <v>176</v>
      </c>
      <c r="H63" s="6">
        <v>0.6</v>
      </c>
      <c r="I63" s="545"/>
      <c r="J63" s="7"/>
      <c r="K63" s="7"/>
      <c r="L63" s="7"/>
      <c r="M63" s="7"/>
      <c r="N63" s="9">
        <f t="shared" si="12"/>
        <v>0</v>
      </c>
      <c r="O63" s="9">
        <f t="shared" ref="O63:O68" si="16">IFERROR((K63*100%)/H63,"-")</f>
        <v>0</v>
      </c>
      <c r="P63" s="9">
        <f t="shared" ref="P63:P68" si="17">IFERROR((L63*100%)/H63,"-")</f>
        <v>0</v>
      </c>
      <c r="Q63" s="9">
        <f t="shared" ref="Q63:Q66" si="18">IFERROR((M63*100%)/H63,"-")</f>
        <v>0</v>
      </c>
      <c r="R63" s="9">
        <f t="shared" si="0"/>
        <v>0</v>
      </c>
    </row>
    <row r="64" spans="1:18" ht="72" customHeight="1" x14ac:dyDescent="0.2">
      <c r="A64" s="542"/>
      <c r="B64" s="548"/>
      <c r="C64" s="548"/>
      <c r="D64" s="537"/>
      <c r="E64" s="545"/>
      <c r="F64" s="19" t="s">
        <v>177</v>
      </c>
      <c r="G64" s="40" t="s">
        <v>178</v>
      </c>
      <c r="H64" s="6">
        <v>0.15</v>
      </c>
      <c r="I64" s="545"/>
      <c r="J64" s="7"/>
      <c r="K64" s="7"/>
      <c r="L64" s="7"/>
      <c r="M64" s="7"/>
      <c r="N64" s="9">
        <f t="shared" si="12"/>
        <v>0</v>
      </c>
      <c r="O64" s="9">
        <f t="shared" si="16"/>
        <v>0</v>
      </c>
      <c r="P64" s="9">
        <f t="shared" si="17"/>
        <v>0</v>
      </c>
      <c r="Q64" s="9">
        <f t="shared" si="18"/>
        <v>0</v>
      </c>
      <c r="R64" s="9">
        <f t="shared" si="0"/>
        <v>0</v>
      </c>
    </row>
    <row r="65" spans="1:18" ht="64.5" customHeight="1" x14ac:dyDescent="0.2">
      <c r="A65" s="542"/>
      <c r="B65" s="548"/>
      <c r="C65" s="549"/>
      <c r="D65" s="538"/>
      <c r="E65" s="546"/>
      <c r="F65" s="19" t="s">
        <v>179</v>
      </c>
      <c r="G65" s="40" t="s">
        <v>180</v>
      </c>
      <c r="H65" s="6">
        <v>0.15</v>
      </c>
      <c r="I65" s="545"/>
      <c r="J65" s="7"/>
      <c r="K65" s="7"/>
      <c r="L65" s="7"/>
      <c r="M65" s="7"/>
      <c r="N65" s="9">
        <f t="shared" si="12"/>
        <v>0</v>
      </c>
      <c r="O65" s="9">
        <f t="shared" si="16"/>
        <v>0</v>
      </c>
      <c r="P65" s="9">
        <f t="shared" si="17"/>
        <v>0</v>
      </c>
      <c r="Q65" s="9">
        <f t="shared" si="18"/>
        <v>0</v>
      </c>
      <c r="R65" s="9">
        <f t="shared" si="0"/>
        <v>0</v>
      </c>
    </row>
    <row r="66" spans="1:18" ht="39" customHeight="1" x14ac:dyDescent="0.2">
      <c r="A66" s="542"/>
      <c r="B66" s="548"/>
      <c r="C66" s="23" t="s">
        <v>181</v>
      </c>
      <c r="D66" s="11" t="s">
        <v>182</v>
      </c>
      <c r="E66" s="6">
        <v>0.3</v>
      </c>
      <c r="F66" s="19" t="s">
        <v>171</v>
      </c>
      <c r="G66" s="40" t="s">
        <v>172</v>
      </c>
      <c r="H66" s="6">
        <v>0.3</v>
      </c>
      <c r="I66" s="545"/>
      <c r="J66" s="7"/>
      <c r="K66" s="7"/>
      <c r="L66" s="7"/>
      <c r="M66" s="7"/>
      <c r="N66" s="9">
        <f t="shared" si="12"/>
        <v>0</v>
      </c>
      <c r="O66" s="9">
        <f t="shared" si="16"/>
        <v>0</v>
      </c>
      <c r="P66" s="9">
        <f t="shared" si="17"/>
        <v>0</v>
      </c>
      <c r="Q66" s="9">
        <f t="shared" si="18"/>
        <v>0</v>
      </c>
      <c r="R66" s="9">
        <f t="shared" si="0"/>
        <v>0</v>
      </c>
    </row>
    <row r="67" spans="1:18" ht="39" customHeight="1" x14ac:dyDescent="0.2">
      <c r="A67" s="542"/>
      <c r="B67" s="548"/>
      <c r="C67" s="23" t="s">
        <v>183</v>
      </c>
      <c r="D67" s="11" t="s">
        <v>184</v>
      </c>
      <c r="E67" s="22">
        <v>1</v>
      </c>
      <c r="F67" s="19" t="s">
        <v>185</v>
      </c>
      <c r="G67" s="41" t="s">
        <v>186</v>
      </c>
      <c r="H67" s="21">
        <v>1</v>
      </c>
      <c r="I67" s="545"/>
      <c r="J67" s="7" t="s">
        <v>100</v>
      </c>
      <c r="K67" s="7" t="s">
        <v>100</v>
      </c>
      <c r="L67" s="7" t="s">
        <v>100</v>
      </c>
      <c r="M67" s="22"/>
      <c r="N67" s="39" t="str">
        <f>IFERROR((J67*100%)/H67,"-")</f>
        <v>-</v>
      </c>
      <c r="O67" s="39" t="str">
        <f t="shared" si="16"/>
        <v>-</v>
      </c>
      <c r="P67" s="39" t="str">
        <f t="shared" si="17"/>
        <v>-</v>
      </c>
      <c r="Q67" s="39" t="str">
        <f>IF(M67=1,1,"-")</f>
        <v>-</v>
      </c>
      <c r="R67" s="39" t="str">
        <f t="shared" si="0"/>
        <v>-</v>
      </c>
    </row>
    <row r="68" spans="1:18" ht="84.75" customHeight="1" x14ac:dyDescent="0.2">
      <c r="A68" s="543"/>
      <c r="B68" s="549"/>
      <c r="C68" s="23" t="s">
        <v>187</v>
      </c>
      <c r="D68" s="11" t="s">
        <v>188</v>
      </c>
      <c r="E68" s="22">
        <v>1</v>
      </c>
      <c r="F68" s="19" t="s">
        <v>189</v>
      </c>
      <c r="G68" s="41" t="s">
        <v>190</v>
      </c>
      <c r="H68" s="21">
        <v>1</v>
      </c>
      <c r="I68" s="546"/>
      <c r="J68" s="7" t="s">
        <v>100</v>
      </c>
      <c r="K68" s="7" t="s">
        <v>100</v>
      </c>
      <c r="L68" s="7" t="s">
        <v>100</v>
      </c>
      <c r="M68" s="22"/>
      <c r="N68" s="39" t="str">
        <f t="shared" si="12"/>
        <v>-</v>
      </c>
      <c r="O68" s="39" t="str">
        <f t="shared" si="16"/>
        <v>-</v>
      </c>
      <c r="P68" s="39" t="str">
        <f t="shared" si="17"/>
        <v>-</v>
      </c>
      <c r="Q68" s="39" t="str">
        <f>IF(M68=1,1,"-")</f>
        <v>-</v>
      </c>
      <c r="R68" s="39" t="str">
        <f t="shared" si="0"/>
        <v>-</v>
      </c>
    </row>
    <row r="69" spans="1:18" ht="45.6" customHeight="1" x14ac:dyDescent="0.2">
      <c r="A69" s="550"/>
      <c r="B69" s="551"/>
      <c r="C69" s="551"/>
      <c r="D69" s="551"/>
      <c r="E69" s="551"/>
      <c r="F69" s="551"/>
      <c r="G69" s="551"/>
      <c r="H69" s="551"/>
      <c r="I69" s="551"/>
      <c r="J69" s="551"/>
      <c r="K69" s="551"/>
      <c r="L69" s="551"/>
      <c r="M69" s="552"/>
      <c r="N69" s="24"/>
      <c r="O69" s="24"/>
      <c r="P69" s="24"/>
      <c r="Q69" s="24"/>
      <c r="R69" s="25">
        <f>AVERAGE(R7:R68)</f>
        <v>2.1249999999999998E-2</v>
      </c>
    </row>
  </sheetData>
  <mergeCells count="73">
    <mergeCell ref="A69:M69"/>
    <mergeCell ref="A62:A68"/>
    <mergeCell ref="B62:B68"/>
    <mergeCell ref="C62:C65"/>
    <mergeCell ref="D62:D65"/>
    <mergeCell ref="E62:E65"/>
    <mergeCell ref="I62:I68"/>
    <mergeCell ref="C47:C51"/>
    <mergeCell ref="D47:D51"/>
    <mergeCell ref="E47:E51"/>
    <mergeCell ref="I47:I51"/>
    <mergeCell ref="A57:A61"/>
    <mergeCell ref="B57:B61"/>
    <mergeCell ref="C60:C61"/>
    <mergeCell ref="I60:I61"/>
    <mergeCell ref="A55:A56"/>
    <mergeCell ref="B55:B56"/>
    <mergeCell ref="C55:C56"/>
    <mergeCell ref="D55:D56"/>
    <mergeCell ref="E55:E56"/>
    <mergeCell ref="I55:I56"/>
    <mergeCell ref="I44:I46"/>
    <mergeCell ref="A38:A43"/>
    <mergeCell ref="B38:B43"/>
    <mergeCell ref="C40:C42"/>
    <mergeCell ref="D40:D42"/>
    <mergeCell ref="E40:E42"/>
    <mergeCell ref="I40:I42"/>
    <mergeCell ref="A44:A54"/>
    <mergeCell ref="B44:B54"/>
    <mergeCell ref="C44:C46"/>
    <mergeCell ref="D44:D46"/>
    <mergeCell ref="E44:E46"/>
    <mergeCell ref="C52:C54"/>
    <mergeCell ref="D52:D54"/>
    <mergeCell ref="E52:E54"/>
    <mergeCell ref="I52:I54"/>
    <mergeCell ref="I21:I37"/>
    <mergeCell ref="I11:I18"/>
    <mergeCell ref="A19:A20"/>
    <mergeCell ref="B19:B20"/>
    <mergeCell ref="C19:C20"/>
    <mergeCell ref="A11:A18"/>
    <mergeCell ref="B11:B18"/>
    <mergeCell ref="C11:C18"/>
    <mergeCell ref="D11:D18"/>
    <mergeCell ref="E11:E18"/>
    <mergeCell ref="A21:A37"/>
    <mergeCell ref="B21:B37"/>
    <mergeCell ref="C21:C37"/>
    <mergeCell ref="D21:D37"/>
    <mergeCell ref="E21:E37"/>
    <mergeCell ref="A7:A10"/>
    <mergeCell ref="B7:B10"/>
    <mergeCell ref="C7:C10"/>
    <mergeCell ref="D7:D10"/>
    <mergeCell ref="E7:E10"/>
    <mergeCell ref="I7:I10"/>
    <mergeCell ref="G5:G6"/>
    <mergeCell ref="H5:H6"/>
    <mergeCell ref="I5:I6"/>
    <mergeCell ref="J5:M5"/>
    <mergeCell ref="B1:R1"/>
    <mergeCell ref="A2:A3"/>
    <mergeCell ref="B2:R3"/>
    <mergeCell ref="A4:C4"/>
    <mergeCell ref="N5:R5"/>
    <mergeCell ref="A5:A6"/>
    <mergeCell ref="B5:B6"/>
    <mergeCell ref="C5:C6"/>
    <mergeCell ref="D5:D6"/>
    <mergeCell ref="E5:E6"/>
    <mergeCell ref="F5:F6"/>
  </mergeCells>
  <conditionalFormatting sqref="N7:R69">
    <cfRule type="cellIs" dxfId="104" priority="1" operator="lessThan">
      <formula>0.6</formula>
    </cfRule>
    <cfRule type="cellIs" dxfId="103" priority="2" operator="between">
      <formula>60%</formula>
      <formula>79%</formula>
    </cfRule>
    <cfRule type="cellIs" dxfId="102" priority="3" operator="between">
      <formula>80%</formula>
      <formula>100%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P46"/>
  <sheetViews>
    <sheetView topLeftCell="A3" zoomScale="60" zoomScaleNormal="60" workbookViewId="0">
      <selection activeCell="C35" sqref="C35"/>
    </sheetView>
  </sheetViews>
  <sheetFormatPr baseColWidth="10" defaultRowHeight="15" x14ac:dyDescent="0.25"/>
  <cols>
    <col min="1" max="1" width="21.42578125" style="29" customWidth="1"/>
    <col min="2" max="2" width="29.140625" style="29" customWidth="1"/>
    <col min="3" max="3" width="38.7109375" style="29" customWidth="1"/>
    <col min="4" max="4" width="31" style="29" customWidth="1"/>
    <col min="5" max="5" width="20.7109375" style="29" customWidth="1"/>
    <col min="6" max="6" width="14.42578125" style="38" customWidth="1"/>
    <col min="7" max="7" width="16.85546875" style="29" customWidth="1"/>
    <col min="8" max="8" width="25.28515625" style="29" customWidth="1"/>
    <col min="9" max="9" width="16.5703125" style="29" customWidth="1"/>
    <col min="10" max="10" width="18.5703125" style="29" customWidth="1"/>
    <col min="11" max="11" width="16.5703125" style="29" customWidth="1"/>
    <col min="12" max="12" width="19.42578125" style="29" customWidth="1"/>
    <col min="13" max="13" width="19.42578125" style="56" hidden="1" customWidth="1"/>
    <col min="14" max="14" width="19.42578125" style="29" hidden="1" customWidth="1"/>
    <col min="15" max="15" width="17.85546875" style="29" hidden="1" customWidth="1"/>
    <col min="16" max="16" width="18.140625" style="29" hidden="1" customWidth="1"/>
    <col min="17" max="29" width="20.42578125" style="29" hidden="1" customWidth="1"/>
    <col min="30" max="42" width="20.42578125" style="29" customWidth="1"/>
    <col min="43" max="43" width="31.85546875" customWidth="1"/>
    <col min="44" max="44" width="21.85546875" customWidth="1"/>
    <col min="45" max="45" width="22.140625" style="29" customWidth="1"/>
    <col min="46" max="46" width="19.42578125" style="56" customWidth="1"/>
    <col min="47" max="47" width="19.42578125" style="29" customWidth="1"/>
    <col min="48" max="48" width="20.7109375" style="29" customWidth="1"/>
    <col min="49" max="49" width="21.28515625" style="29" customWidth="1"/>
    <col min="50" max="56" width="20.28515625" style="29" customWidth="1"/>
    <col min="57" max="61" width="19.5703125" style="29" customWidth="1"/>
    <col min="62" max="75" width="20.42578125" style="29" customWidth="1"/>
    <col min="76" max="76" width="31.85546875" customWidth="1"/>
    <col min="77" max="77" width="21.85546875" customWidth="1"/>
    <col min="78" max="78" width="22.140625" style="29" customWidth="1"/>
    <col min="79" max="79" width="19.42578125" style="56" customWidth="1"/>
    <col min="80" max="92" width="19.42578125" style="29" customWidth="1"/>
    <col min="93" max="93" width="17.85546875" style="29" customWidth="1"/>
    <col min="94" max="95" width="18.140625" style="29" customWidth="1"/>
    <col min="96" max="108" width="20.42578125" style="29" customWidth="1"/>
    <col min="109" max="109" width="31.85546875" customWidth="1"/>
    <col min="110" max="110" width="21.85546875" customWidth="1"/>
    <col min="111" max="111" width="22.140625" style="29" customWidth="1"/>
    <col min="112" max="112" width="17.7109375" style="29" customWidth="1"/>
    <col min="113" max="113" width="17.85546875" style="29" customWidth="1"/>
    <col min="114" max="114" width="19.140625" style="29" customWidth="1"/>
    <col min="115" max="115" width="18.7109375" style="29" customWidth="1"/>
    <col min="116" max="116" width="21" style="29" customWidth="1"/>
    <col min="117" max="117" width="26.5703125" style="29" customWidth="1"/>
    <col min="118" max="118" width="24.5703125" style="29" customWidth="1"/>
    <col min="119" max="119" width="28.140625" style="29" customWidth="1"/>
    <col min="120" max="120" width="27.85546875" style="29" customWidth="1"/>
    <col min="121" max="121" width="11.42578125" style="29"/>
    <col min="122" max="122" width="11.42578125" style="29" customWidth="1"/>
    <col min="123" max="16384" width="11.42578125" style="29"/>
  </cols>
  <sheetData>
    <row r="1" spans="1:120" ht="75.75" customHeight="1" x14ac:dyDescent="0.2">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c r="AW1" s="593"/>
      <c r="AX1" s="593"/>
      <c r="AY1" s="593"/>
      <c r="AZ1" s="593"/>
      <c r="BA1" s="593"/>
      <c r="BB1" s="593"/>
      <c r="BC1" s="593"/>
      <c r="BD1" s="593"/>
      <c r="BE1" s="593"/>
      <c r="BF1" s="593"/>
      <c r="BG1" s="593"/>
      <c r="BH1" s="593"/>
      <c r="BI1" s="593"/>
      <c r="BJ1" s="593"/>
      <c r="BK1" s="593"/>
      <c r="BL1" s="593"/>
      <c r="BM1" s="593"/>
      <c r="BN1" s="593"/>
      <c r="BO1" s="593"/>
      <c r="BP1" s="593"/>
      <c r="BQ1" s="593"/>
      <c r="BR1" s="593"/>
      <c r="BS1" s="593"/>
      <c r="BT1" s="593"/>
      <c r="BU1" s="593"/>
      <c r="BV1" s="593"/>
      <c r="BW1" s="593"/>
      <c r="BX1" s="593"/>
      <c r="BY1" s="593"/>
      <c r="BZ1" s="593"/>
      <c r="CA1" s="593"/>
      <c r="CB1" s="593"/>
      <c r="CC1" s="593"/>
      <c r="CD1" s="593"/>
      <c r="CE1" s="593"/>
      <c r="CF1" s="593"/>
      <c r="CG1" s="593"/>
      <c r="CH1" s="593"/>
      <c r="CI1" s="593"/>
      <c r="CJ1" s="593"/>
      <c r="CK1" s="593"/>
      <c r="CL1" s="593"/>
      <c r="CM1" s="593"/>
      <c r="CN1" s="593"/>
      <c r="CO1" s="593"/>
      <c r="CP1" s="593"/>
      <c r="CQ1" s="593"/>
      <c r="CR1" s="593"/>
      <c r="CS1" s="593"/>
      <c r="CT1" s="593"/>
      <c r="CU1" s="593"/>
      <c r="CV1" s="593"/>
      <c r="CW1" s="593"/>
      <c r="CX1" s="593"/>
      <c r="CY1" s="593"/>
      <c r="CZ1" s="593"/>
      <c r="DA1" s="593"/>
      <c r="DB1" s="593"/>
      <c r="DC1" s="593"/>
      <c r="DD1" s="593"/>
      <c r="DE1" s="593"/>
      <c r="DF1" s="593"/>
      <c r="DG1" s="593"/>
      <c r="DH1" s="593"/>
      <c r="DI1" s="593"/>
      <c r="DJ1" s="593"/>
      <c r="DK1" s="593"/>
      <c r="DL1" s="593"/>
      <c r="DM1" s="593"/>
      <c r="DN1" s="612"/>
      <c r="DO1" s="612"/>
      <c r="DP1" s="612"/>
    </row>
    <row r="2" spans="1:120" ht="41.25" customHeight="1" x14ac:dyDescent="0.2">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593"/>
      <c r="AZ2" s="593"/>
      <c r="BA2" s="593"/>
      <c r="BB2" s="593"/>
      <c r="BC2" s="593"/>
      <c r="BD2" s="593"/>
      <c r="BE2" s="593"/>
      <c r="BF2" s="593"/>
      <c r="BG2" s="593"/>
      <c r="BH2" s="593"/>
      <c r="BI2" s="593"/>
      <c r="BJ2" s="593"/>
      <c r="BK2" s="593"/>
      <c r="BL2" s="593"/>
      <c r="BM2" s="593"/>
      <c r="BN2" s="593"/>
      <c r="BO2" s="593"/>
      <c r="BP2" s="593"/>
      <c r="BQ2" s="593"/>
      <c r="BR2" s="593"/>
      <c r="BS2" s="593"/>
      <c r="BT2" s="593"/>
      <c r="BU2" s="593"/>
      <c r="BV2" s="593"/>
      <c r="BW2" s="593"/>
      <c r="BX2" s="593"/>
      <c r="BY2" s="593"/>
      <c r="BZ2" s="593"/>
      <c r="CA2" s="593"/>
      <c r="CB2" s="593"/>
      <c r="CC2" s="593"/>
      <c r="CD2" s="593"/>
      <c r="CE2" s="593"/>
      <c r="CF2" s="593"/>
      <c r="CG2" s="593"/>
      <c r="CH2" s="593"/>
      <c r="CI2" s="593"/>
      <c r="CJ2" s="593"/>
      <c r="CK2" s="593"/>
      <c r="CL2" s="593"/>
      <c r="CM2" s="593"/>
      <c r="CN2" s="593"/>
      <c r="CO2" s="593"/>
      <c r="CP2" s="593"/>
      <c r="CQ2" s="593"/>
      <c r="CR2" s="593"/>
      <c r="CS2" s="593"/>
      <c r="CT2" s="593"/>
      <c r="CU2" s="593"/>
      <c r="CV2" s="593"/>
      <c r="CW2" s="593"/>
      <c r="CX2" s="593"/>
      <c r="CY2" s="593"/>
      <c r="CZ2" s="593"/>
      <c r="DA2" s="593"/>
      <c r="DB2" s="593"/>
      <c r="DC2" s="593"/>
      <c r="DD2" s="593"/>
      <c r="DE2" s="593"/>
      <c r="DF2" s="593"/>
      <c r="DG2" s="593"/>
      <c r="DH2" s="593"/>
      <c r="DI2" s="593"/>
      <c r="DJ2" s="593"/>
      <c r="DK2" s="593"/>
      <c r="DL2" s="593"/>
      <c r="DM2" s="593"/>
      <c r="DN2" s="612"/>
      <c r="DO2" s="612"/>
      <c r="DP2" s="612"/>
    </row>
    <row r="3" spans="1:120" ht="41.25" customHeight="1" x14ac:dyDescent="0.2">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593"/>
      <c r="AX3" s="593"/>
      <c r="AY3" s="593"/>
      <c r="AZ3" s="593"/>
      <c r="BA3" s="593"/>
      <c r="BB3" s="593"/>
      <c r="BC3" s="593"/>
      <c r="BD3" s="593"/>
      <c r="BE3" s="593"/>
      <c r="BF3" s="593"/>
      <c r="BG3" s="593"/>
      <c r="BH3" s="593"/>
      <c r="BI3" s="593"/>
      <c r="BJ3" s="593"/>
      <c r="BK3" s="593"/>
      <c r="BL3" s="593"/>
      <c r="BM3" s="593"/>
      <c r="BN3" s="593"/>
      <c r="BO3" s="593"/>
      <c r="BP3" s="593"/>
      <c r="BQ3" s="593"/>
      <c r="BR3" s="593"/>
      <c r="BS3" s="593"/>
      <c r="BT3" s="593"/>
      <c r="BU3" s="593"/>
      <c r="BV3" s="593"/>
      <c r="BW3" s="593"/>
      <c r="BX3" s="593"/>
      <c r="BY3" s="593"/>
      <c r="BZ3" s="593"/>
      <c r="CA3" s="593"/>
      <c r="CB3" s="593"/>
      <c r="CC3" s="593"/>
      <c r="CD3" s="593"/>
      <c r="CE3" s="593"/>
      <c r="CF3" s="593"/>
      <c r="CG3" s="593"/>
      <c r="CH3" s="593"/>
      <c r="CI3" s="593"/>
      <c r="CJ3" s="593"/>
      <c r="CK3" s="593"/>
      <c r="CL3" s="593"/>
      <c r="CM3" s="593"/>
      <c r="CN3" s="593"/>
      <c r="CO3" s="593"/>
      <c r="CP3" s="593"/>
      <c r="CQ3" s="593"/>
      <c r="CR3" s="593"/>
      <c r="CS3" s="593"/>
      <c r="CT3" s="593"/>
      <c r="CU3" s="593"/>
      <c r="CV3" s="593"/>
      <c r="CW3" s="593"/>
      <c r="CX3" s="593"/>
      <c r="CY3" s="593"/>
      <c r="CZ3" s="593"/>
      <c r="DA3" s="593"/>
      <c r="DB3" s="593"/>
      <c r="DC3" s="593"/>
      <c r="DD3" s="593"/>
      <c r="DE3" s="593"/>
      <c r="DF3" s="593"/>
      <c r="DG3" s="593"/>
      <c r="DH3" s="593"/>
      <c r="DI3" s="593"/>
      <c r="DJ3" s="593"/>
      <c r="DK3" s="593"/>
      <c r="DL3" s="593"/>
      <c r="DM3" s="593"/>
      <c r="DN3" s="613" t="s">
        <v>772</v>
      </c>
      <c r="DO3" s="613"/>
      <c r="DP3" s="613"/>
    </row>
    <row r="4" spans="1:120" ht="32.25" customHeight="1" thickBot="1" x14ac:dyDescent="0.25">
      <c r="A4" s="627" t="s">
        <v>193</v>
      </c>
      <c r="B4" s="627"/>
      <c r="C4" s="627"/>
      <c r="D4" s="627"/>
      <c r="AQ4" s="29"/>
      <c r="AR4" s="29"/>
      <c r="BX4" s="29"/>
      <c r="BY4" s="29"/>
      <c r="DE4" s="29"/>
      <c r="DF4" s="29"/>
    </row>
    <row r="5" spans="1:120" ht="57" customHeight="1" x14ac:dyDescent="0.2">
      <c r="A5" s="606" t="s">
        <v>1</v>
      </c>
      <c r="B5" s="594" t="s">
        <v>3</v>
      </c>
      <c r="C5" s="594" t="s">
        <v>194</v>
      </c>
      <c r="D5" s="594" t="s">
        <v>195</v>
      </c>
      <c r="E5" s="594" t="s">
        <v>196</v>
      </c>
      <c r="F5" s="642" t="s">
        <v>742</v>
      </c>
      <c r="G5" s="594" t="s">
        <v>228</v>
      </c>
      <c r="H5" s="594" t="s">
        <v>227</v>
      </c>
      <c r="I5" s="594" t="s">
        <v>8</v>
      </c>
      <c r="J5" s="594" t="s">
        <v>495</v>
      </c>
      <c r="K5" s="594" t="s">
        <v>519</v>
      </c>
      <c r="L5" s="640" t="s">
        <v>9</v>
      </c>
      <c r="M5" s="356" t="s">
        <v>59</v>
      </c>
      <c r="N5" s="356" t="s">
        <v>60</v>
      </c>
      <c r="O5" s="356" t="s">
        <v>61</v>
      </c>
      <c r="P5" s="356" t="s">
        <v>62</v>
      </c>
      <c r="Q5" s="356" t="s">
        <v>63</v>
      </c>
      <c r="R5" s="356" t="s">
        <v>64</v>
      </c>
      <c r="S5" s="356" t="s">
        <v>65</v>
      </c>
      <c r="T5" s="356" t="s">
        <v>66</v>
      </c>
      <c r="U5" s="356" t="s">
        <v>67</v>
      </c>
      <c r="V5" s="356" t="s">
        <v>68</v>
      </c>
      <c r="W5" s="356" t="s">
        <v>69</v>
      </c>
      <c r="X5" s="356" t="s">
        <v>70</v>
      </c>
      <c r="Y5" s="356" t="s">
        <v>71</v>
      </c>
      <c r="Z5" s="356" t="s">
        <v>72</v>
      </c>
      <c r="AA5" s="356" t="s">
        <v>73</v>
      </c>
      <c r="AB5" s="356" t="s">
        <v>74</v>
      </c>
      <c r="AC5" s="356" t="s">
        <v>75</v>
      </c>
      <c r="AD5" s="356" t="s">
        <v>788</v>
      </c>
      <c r="AE5" s="356" t="s">
        <v>789</v>
      </c>
      <c r="AF5" s="356" t="s">
        <v>790</v>
      </c>
      <c r="AG5" s="356" t="s">
        <v>791</v>
      </c>
      <c r="AH5" s="356" t="s">
        <v>792</v>
      </c>
      <c r="AI5" s="356" t="s">
        <v>793</v>
      </c>
      <c r="AJ5" s="356" t="s">
        <v>794</v>
      </c>
      <c r="AK5" s="356" t="s">
        <v>795</v>
      </c>
      <c r="AL5" s="356" t="s">
        <v>796</v>
      </c>
      <c r="AM5" s="356" t="s">
        <v>797</v>
      </c>
      <c r="AN5" s="356" t="s">
        <v>798</v>
      </c>
      <c r="AO5" s="356" t="s">
        <v>799</v>
      </c>
      <c r="AP5" s="356" t="s">
        <v>800</v>
      </c>
      <c r="AQ5" s="676" t="s">
        <v>421</v>
      </c>
      <c r="AR5" s="610" t="s">
        <v>423</v>
      </c>
      <c r="AS5" s="675" t="s">
        <v>488</v>
      </c>
      <c r="AT5" s="427" t="s">
        <v>59</v>
      </c>
      <c r="AU5" s="428" t="s">
        <v>60</v>
      </c>
      <c r="AV5" s="428" t="s">
        <v>61</v>
      </c>
      <c r="AW5" s="428" t="s">
        <v>62</v>
      </c>
      <c r="AX5" s="428" t="s">
        <v>63</v>
      </c>
      <c r="AY5" s="428" t="s">
        <v>64</v>
      </c>
      <c r="AZ5" s="428" t="s">
        <v>65</v>
      </c>
      <c r="BA5" s="428" t="s">
        <v>66</v>
      </c>
      <c r="BB5" s="428" t="s">
        <v>67</v>
      </c>
      <c r="BC5" s="428" t="s">
        <v>68</v>
      </c>
      <c r="BD5" s="428" t="s">
        <v>69</v>
      </c>
      <c r="BE5" s="428" t="s">
        <v>70</v>
      </c>
      <c r="BF5" s="428" t="s">
        <v>71</v>
      </c>
      <c r="BG5" s="428" t="s">
        <v>72</v>
      </c>
      <c r="BH5" s="428" t="s">
        <v>73</v>
      </c>
      <c r="BI5" s="428" t="s">
        <v>74</v>
      </c>
      <c r="BJ5" s="428" t="s">
        <v>75</v>
      </c>
      <c r="BK5" s="356" t="s">
        <v>788</v>
      </c>
      <c r="BL5" s="356" t="s">
        <v>789</v>
      </c>
      <c r="BM5" s="356" t="s">
        <v>790</v>
      </c>
      <c r="BN5" s="356" t="s">
        <v>791</v>
      </c>
      <c r="BO5" s="356" t="s">
        <v>792</v>
      </c>
      <c r="BP5" s="356" t="s">
        <v>793</v>
      </c>
      <c r="BQ5" s="356" t="s">
        <v>794</v>
      </c>
      <c r="BR5" s="356" t="s">
        <v>795</v>
      </c>
      <c r="BS5" s="356" t="s">
        <v>796</v>
      </c>
      <c r="BT5" s="356" t="s">
        <v>797</v>
      </c>
      <c r="BU5" s="356" t="s">
        <v>798</v>
      </c>
      <c r="BV5" s="356" t="s">
        <v>799</v>
      </c>
      <c r="BW5" s="356" t="s">
        <v>800</v>
      </c>
      <c r="BX5" s="676" t="s">
        <v>421</v>
      </c>
      <c r="BY5" s="610" t="s">
        <v>423</v>
      </c>
      <c r="BZ5" s="608" t="s">
        <v>491</v>
      </c>
      <c r="CA5" s="427" t="s">
        <v>59</v>
      </c>
      <c r="CB5" s="428" t="s">
        <v>60</v>
      </c>
      <c r="CC5" s="428" t="s">
        <v>61</v>
      </c>
      <c r="CD5" s="428" t="s">
        <v>62</v>
      </c>
      <c r="CE5" s="428" t="s">
        <v>63</v>
      </c>
      <c r="CF5" s="428" t="s">
        <v>64</v>
      </c>
      <c r="CG5" s="428" t="s">
        <v>65</v>
      </c>
      <c r="CH5" s="428" t="s">
        <v>66</v>
      </c>
      <c r="CI5" s="428" t="s">
        <v>67</v>
      </c>
      <c r="CJ5" s="428" t="s">
        <v>68</v>
      </c>
      <c r="CK5" s="428" t="s">
        <v>69</v>
      </c>
      <c r="CL5" s="428" t="s">
        <v>70</v>
      </c>
      <c r="CM5" s="428" t="s">
        <v>71</v>
      </c>
      <c r="CN5" s="428" t="s">
        <v>72</v>
      </c>
      <c r="CO5" s="428" t="s">
        <v>73</v>
      </c>
      <c r="CP5" s="428" t="s">
        <v>74</v>
      </c>
      <c r="CQ5" s="428" t="s">
        <v>75</v>
      </c>
      <c r="CR5" s="356" t="s">
        <v>788</v>
      </c>
      <c r="CS5" s="356" t="s">
        <v>789</v>
      </c>
      <c r="CT5" s="356" t="s">
        <v>790</v>
      </c>
      <c r="CU5" s="356" t="s">
        <v>791</v>
      </c>
      <c r="CV5" s="356" t="s">
        <v>792</v>
      </c>
      <c r="CW5" s="356" t="s">
        <v>793</v>
      </c>
      <c r="CX5" s="356" t="s">
        <v>794</v>
      </c>
      <c r="CY5" s="356" t="s">
        <v>795</v>
      </c>
      <c r="CZ5" s="356" t="s">
        <v>796</v>
      </c>
      <c r="DA5" s="356" t="s">
        <v>797</v>
      </c>
      <c r="DB5" s="356" t="s">
        <v>798</v>
      </c>
      <c r="DC5" s="356" t="s">
        <v>799</v>
      </c>
      <c r="DD5" s="356" t="s">
        <v>800</v>
      </c>
      <c r="DE5" s="676" t="s">
        <v>421</v>
      </c>
      <c r="DF5" s="610" t="s">
        <v>423</v>
      </c>
      <c r="DG5" s="608" t="s">
        <v>493</v>
      </c>
      <c r="DH5" s="665" t="s">
        <v>11</v>
      </c>
      <c r="DI5" s="666"/>
      <c r="DJ5" s="666"/>
      <c r="DK5" s="666"/>
      <c r="DL5" s="667"/>
      <c r="DM5" s="660" t="s">
        <v>557</v>
      </c>
      <c r="DN5" s="661"/>
      <c r="DO5" s="661"/>
      <c r="DP5" s="662"/>
    </row>
    <row r="6" spans="1:120" ht="63" customHeight="1" x14ac:dyDescent="0.2">
      <c r="A6" s="607"/>
      <c r="B6" s="535"/>
      <c r="C6" s="535"/>
      <c r="D6" s="535"/>
      <c r="E6" s="535"/>
      <c r="F6" s="643"/>
      <c r="G6" s="535"/>
      <c r="H6" s="535"/>
      <c r="I6" s="535"/>
      <c r="J6" s="535"/>
      <c r="K6" s="535"/>
      <c r="L6" s="641"/>
      <c r="M6" s="253" t="s">
        <v>299</v>
      </c>
      <c r="N6" s="4" t="s">
        <v>299</v>
      </c>
      <c r="O6" s="4" t="s">
        <v>299</v>
      </c>
      <c r="P6" s="4" t="s">
        <v>299</v>
      </c>
      <c r="Q6" s="4" t="s">
        <v>299</v>
      </c>
      <c r="R6" s="4" t="s">
        <v>299</v>
      </c>
      <c r="S6" s="4" t="s">
        <v>299</v>
      </c>
      <c r="T6" s="4" t="s">
        <v>299</v>
      </c>
      <c r="U6" s="4" t="s">
        <v>299</v>
      </c>
      <c r="V6" s="4" t="s">
        <v>299</v>
      </c>
      <c r="W6" s="4" t="s">
        <v>299</v>
      </c>
      <c r="X6" s="4" t="s">
        <v>299</v>
      </c>
      <c r="Y6" s="4" t="s">
        <v>299</v>
      </c>
      <c r="Z6" s="4" t="s">
        <v>299</v>
      </c>
      <c r="AA6" s="4" t="s">
        <v>299</v>
      </c>
      <c r="AB6" s="4" t="s">
        <v>299</v>
      </c>
      <c r="AC6" s="4" t="s">
        <v>299</v>
      </c>
      <c r="AD6" s="4" t="s">
        <v>299</v>
      </c>
      <c r="AE6" s="4" t="s">
        <v>299</v>
      </c>
      <c r="AF6" s="4" t="s">
        <v>299</v>
      </c>
      <c r="AG6" s="4" t="s">
        <v>299</v>
      </c>
      <c r="AH6" s="4" t="s">
        <v>299</v>
      </c>
      <c r="AI6" s="4" t="s">
        <v>299</v>
      </c>
      <c r="AJ6" s="4" t="s">
        <v>299</v>
      </c>
      <c r="AK6" s="4" t="s">
        <v>299</v>
      </c>
      <c r="AL6" s="4" t="s">
        <v>299</v>
      </c>
      <c r="AM6" s="4" t="s">
        <v>299</v>
      </c>
      <c r="AN6" s="4" t="s">
        <v>299</v>
      </c>
      <c r="AO6" s="4" t="s">
        <v>299</v>
      </c>
      <c r="AP6" s="4" t="s">
        <v>299</v>
      </c>
      <c r="AQ6" s="677"/>
      <c r="AR6" s="611"/>
      <c r="AS6" s="664"/>
      <c r="AT6" s="163" t="s">
        <v>288</v>
      </c>
      <c r="AU6" s="4" t="s">
        <v>288</v>
      </c>
      <c r="AV6" s="4" t="s">
        <v>288</v>
      </c>
      <c r="AW6" s="4" t="s">
        <v>288</v>
      </c>
      <c r="AX6" s="4" t="s">
        <v>288</v>
      </c>
      <c r="AY6" s="4" t="s">
        <v>288</v>
      </c>
      <c r="AZ6" s="4" t="s">
        <v>288</v>
      </c>
      <c r="BA6" s="4" t="s">
        <v>288</v>
      </c>
      <c r="BB6" s="4" t="s">
        <v>288</v>
      </c>
      <c r="BC6" s="4" t="s">
        <v>288</v>
      </c>
      <c r="BD6" s="4" t="s">
        <v>288</v>
      </c>
      <c r="BE6" s="4" t="s">
        <v>288</v>
      </c>
      <c r="BF6" s="4" t="s">
        <v>288</v>
      </c>
      <c r="BG6" s="4" t="s">
        <v>288</v>
      </c>
      <c r="BH6" s="4" t="s">
        <v>288</v>
      </c>
      <c r="BI6" s="4" t="s">
        <v>288</v>
      </c>
      <c r="BJ6" s="4" t="s">
        <v>288</v>
      </c>
      <c r="BK6" s="4" t="s">
        <v>299</v>
      </c>
      <c r="BL6" s="4" t="s">
        <v>299</v>
      </c>
      <c r="BM6" s="4" t="s">
        <v>299</v>
      </c>
      <c r="BN6" s="4" t="s">
        <v>299</v>
      </c>
      <c r="BO6" s="4" t="s">
        <v>299</v>
      </c>
      <c r="BP6" s="4" t="s">
        <v>299</v>
      </c>
      <c r="BQ6" s="4" t="s">
        <v>299</v>
      </c>
      <c r="BR6" s="4" t="s">
        <v>299</v>
      </c>
      <c r="BS6" s="4" t="s">
        <v>299</v>
      </c>
      <c r="BT6" s="4" t="s">
        <v>299</v>
      </c>
      <c r="BU6" s="4" t="s">
        <v>299</v>
      </c>
      <c r="BV6" s="4" t="s">
        <v>299</v>
      </c>
      <c r="BW6" s="4" t="s">
        <v>299</v>
      </c>
      <c r="BX6" s="677"/>
      <c r="BY6" s="611"/>
      <c r="BZ6" s="609"/>
      <c r="CA6" s="253" t="s">
        <v>289</v>
      </c>
      <c r="CB6" s="4" t="s">
        <v>289</v>
      </c>
      <c r="CC6" s="4" t="s">
        <v>289</v>
      </c>
      <c r="CD6" s="4" t="s">
        <v>289</v>
      </c>
      <c r="CE6" s="4" t="s">
        <v>289</v>
      </c>
      <c r="CF6" s="4" t="s">
        <v>289</v>
      </c>
      <c r="CG6" s="4" t="s">
        <v>289</v>
      </c>
      <c r="CH6" s="4" t="s">
        <v>289</v>
      </c>
      <c r="CI6" s="4" t="s">
        <v>289</v>
      </c>
      <c r="CJ6" s="4" t="s">
        <v>289</v>
      </c>
      <c r="CK6" s="4" t="s">
        <v>289</v>
      </c>
      <c r="CL6" s="4" t="s">
        <v>289</v>
      </c>
      <c r="CM6" s="4" t="s">
        <v>289</v>
      </c>
      <c r="CN6" s="4" t="s">
        <v>289</v>
      </c>
      <c r="CO6" s="4" t="s">
        <v>289</v>
      </c>
      <c r="CP6" s="4" t="s">
        <v>289</v>
      </c>
      <c r="CQ6" s="4" t="s">
        <v>289</v>
      </c>
      <c r="CR6" s="4" t="s">
        <v>299</v>
      </c>
      <c r="CS6" s="4" t="s">
        <v>299</v>
      </c>
      <c r="CT6" s="4" t="s">
        <v>299</v>
      </c>
      <c r="CU6" s="4" t="s">
        <v>299</v>
      </c>
      <c r="CV6" s="4" t="s">
        <v>299</v>
      </c>
      <c r="CW6" s="4" t="s">
        <v>299</v>
      </c>
      <c r="CX6" s="4" t="s">
        <v>299</v>
      </c>
      <c r="CY6" s="4" t="s">
        <v>299</v>
      </c>
      <c r="CZ6" s="4" t="s">
        <v>299</v>
      </c>
      <c r="DA6" s="4" t="s">
        <v>299</v>
      </c>
      <c r="DB6" s="4" t="s">
        <v>299</v>
      </c>
      <c r="DC6" s="4" t="s">
        <v>299</v>
      </c>
      <c r="DD6" s="4" t="s">
        <v>299</v>
      </c>
      <c r="DE6" s="677"/>
      <c r="DF6" s="611"/>
      <c r="DG6" s="609"/>
      <c r="DH6" s="5" t="s">
        <v>198</v>
      </c>
      <c r="DI6" s="5" t="s">
        <v>199</v>
      </c>
      <c r="DJ6" s="5" t="s">
        <v>200</v>
      </c>
      <c r="DK6" s="5" t="s">
        <v>201</v>
      </c>
      <c r="DL6" s="5" t="s">
        <v>20</v>
      </c>
      <c r="DM6" s="33" t="s">
        <v>202</v>
      </c>
      <c r="DN6" s="33" t="s">
        <v>203</v>
      </c>
      <c r="DO6" s="33" t="s">
        <v>204</v>
      </c>
      <c r="DP6" s="33" t="s">
        <v>205</v>
      </c>
    </row>
    <row r="7" spans="1:120" s="37" customFormat="1" ht="121.5" customHeight="1" x14ac:dyDescent="0.25">
      <c r="A7" s="353" t="s">
        <v>55</v>
      </c>
      <c r="B7" s="352" t="s">
        <v>56</v>
      </c>
      <c r="C7" s="352" t="s">
        <v>212</v>
      </c>
      <c r="D7" s="352" t="s">
        <v>303</v>
      </c>
      <c r="E7" s="352" t="s">
        <v>213</v>
      </c>
      <c r="F7" s="351">
        <f>+'PLAN DESARROLLO'!E11</f>
        <v>0.6</v>
      </c>
      <c r="G7" s="357" t="s">
        <v>664</v>
      </c>
      <c r="H7" s="63" t="s">
        <v>662</v>
      </c>
      <c r="I7" s="6">
        <v>1</v>
      </c>
      <c r="J7" s="11" t="s">
        <v>496</v>
      </c>
      <c r="K7" s="11" t="s">
        <v>702</v>
      </c>
      <c r="L7" s="431" t="s">
        <v>711</v>
      </c>
      <c r="M7" s="254"/>
      <c r="N7" s="57"/>
      <c r="O7" s="57"/>
      <c r="P7" s="57"/>
      <c r="Q7" s="57"/>
      <c r="R7" s="57"/>
      <c r="S7" s="57"/>
      <c r="T7" s="57"/>
      <c r="U7" s="57"/>
      <c r="V7" s="57"/>
      <c r="W7" s="57"/>
      <c r="X7" s="57"/>
      <c r="Y7" s="57"/>
      <c r="Z7" s="57"/>
      <c r="AA7" s="57"/>
      <c r="AB7" s="57"/>
      <c r="AC7" s="57"/>
      <c r="AD7" s="57"/>
      <c r="AE7" s="57"/>
      <c r="AF7" s="57"/>
      <c r="AG7" s="57"/>
      <c r="AH7" s="57"/>
      <c r="AI7" s="57"/>
      <c r="AJ7" s="57"/>
      <c r="AK7" s="57"/>
      <c r="AL7" s="146"/>
      <c r="AM7" s="146"/>
      <c r="AN7" s="146"/>
      <c r="AO7" s="57"/>
      <c r="AP7" s="262"/>
      <c r="AQ7" s="57"/>
      <c r="AR7" s="57"/>
      <c r="AS7" s="421" t="e">
        <f>+AVERAGE(M7:AP7)</f>
        <v>#DIV/0!</v>
      </c>
      <c r="AT7" s="164"/>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165" t="e">
        <f>+AVERAGE(AT7:BJ7)</f>
        <v>#DIV/0!</v>
      </c>
      <c r="CA7" s="414"/>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73" t="e">
        <f>+AVERAGE(CA7:CQ7)</f>
        <v>#DIV/0!</v>
      </c>
      <c r="DH7" s="26" t="s">
        <v>226</v>
      </c>
      <c r="DI7" s="26" t="str">
        <f>IFERROR(IF(AS7&gt;1,1,(AS7*100%)/1),"-")</f>
        <v>-</v>
      </c>
      <c r="DJ7" s="26" t="str">
        <f>IFERROR(IF(BZ7&gt;0.4,1,(BZ7*100%)/0.4),"-")</f>
        <v>-</v>
      </c>
      <c r="DK7" s="26" t="str">
        <f>IFERROR(IF(DG7&gt;0.4,1,(DG7*100%)/0.4),"-")</f>
        <v>-</v>
      </c>
      <c r="DL7" s="26" t="str">
        <f>IFERROR(AVERAGE(DH7:DK7),"-")</f>
        <v>-</v>
      </c>
      <c r="DM7" s="34"/>
      <c r="DN7" s="35"/>
      <c r="DO7" s="36"/>
      <c r="DP7" s="36"/>
    </row>
    <row r="8" spans="1:120" s="58" customFormat="1" ht="45.6" customHeight="1" thickBot="1" x14ac:dyDescent="0.25">
      <c r="A8" s="596" t="s">
        <v>294</v>
      </c>
      <c r="B8" s="597"/>
      <c r="C8" s="597"/>
      <c r="D8" s="597"/>
      <c r="E8" s="597"/>
      <c r="F8" s="597"/>
      <c r="G8" s="597"/>
      <c r="H8" s="597"/>
      <c r="I8" s="597"/>
      <c r="J8" s="597"/>
      <c r="K8" s="597"/>
      <c r="L8" s="599"/>
      <c r="M8" s="415" t="str">
        <f>IFERROR(AVERAGE(M7:M7),"-")</f>
        <v>-</v>
      </c>
      <c r="N8" s="415" t="str">
        <f>IFERROR(AVERAGE(N7:N7),"-")</f>
        <v>-</v>
      </c>
      <c r="O8" s="415" t="str">
        <f>IFERROR(AVERAGE(O7:O7),"-")</f>
        <v>-</v>
      </c>
      <c r="P8" s="415" t="str">
        <f>IFERROR(AVERAGE(P7:P7),"-")</f>
        <v>-</v>
      </c>
      <c r="Q8" s="415" t="str">
        <f>IFERROR(AVERAGE(Q7:Q7),"-")</f>
        <v>-</v>
      </c>
      <c r="R8" s="415" t="str">
        <f t="shared" ref="R8:AA8" si="0">IFERROR(AVERAGE(R7:R7),"-")</f>
        <v>-</v>
      </c>
      <c r="S8" s="415" t="str">
        <f t="shared" si="0"/>
        <v>-</v>
      </c>
      <c r="T8" s="415" t="str">
        <f t="shared" si="0"/>
        <v>-</v>
      </c>
      <c r="U8" s="415" t="str">
        <f t="shared" si="0"/>
        <v>-</v>
      </c>
      <c r="V8" s="415" t="str">
        <f t="shared" si="0"/>
        <v>-</v>
      </c>
      <c r="W8" s="415" t="str">
        <f t="shared" si="0"/>
        <v>-</v>
      </c>
      <c r="X8" s="415" t="str">
        <f t="shared" si="0"/>
        <v>-</v>
      </c>
      <c r="Y8" s="415" t="str">
        <f t="shared" si="0"/>
        <v>-</v>
      </c>
      <c r="Z8" s="415" t="str">
        <f t="shared" si="0"/>
        <v>-</v>
      </c>
      <c r="AA8" s="415" t="str">
        <f t="shared" si="0"/>
        <v>-</v>
      </c>
      <c r="AB8" s="415" t="str">
        <f>IFERROR(AVERAGE(AB7:AB7),"-")</f>
        <v>-</v>
      </c>
      <c r="AC8" s="415" t="str">
        <f>IFERROR(AVERAGE(AC7:AC7),"-")</f>
        <v>-</v>
      </c>
      <c r="AD8" s="415" t="str">
        <f t="shared" ref="AD8:AP8" si="1">IFERROR(AVERAGE(AD7:AD7),"-")</f>
        <v>-</v>
      </c>
      <c r="AE8" s="415" t="str">
        <f t="shared" si="1"/>
        <v>-</v>
      </c>
      <c r="AF8" s="415" t="str">
        <f t="shared" si="1"/>
        <v>-</v>
      </c>
      <c r="AG8" s="415" t="str">
        <f t="shared" si="1"/>
        <v>-</v>
      </c>
      <c r="AH8" s="415" t="str">
        <f t="shared" si="1"/>
        <v>-</v>
      </c>
      <c r="AI8" s="415" t="str">
        <f t="shared" si="1"/>
        <v>-</v>
      </c>
      <c r="AJ8" s="415" t="str">
        <f t="shared" si="1"/>
        <v>-</v>
      </c>
      <c r="AK8" s="415" t="str">
        <f t="shared" si="1"/>
        <v>-</v>
      </c>
      <c r="AL8" s="415" t="str">
        <f t="shared" si="1"/>
        <v>-</v>
      </c>
      <c r="AM8" s="415" t="str">
        <f t="shared" si="1"/>
        <v>-</v>
      </c>
      <c r="AN8" s="415" t="str">
        <f t="shared" si="1"/>
        <v>-</v>
      </c>
      <c r="AO8" s="415" t="str">
        <f t="shared" si="1"/>
        <v>-</v>
      </c>
      <c r="AP8" s="415" t="str">
        <f t="shared" si="1"/>
        <v>-</v>
      </c>
      <c r="AQ8" s="169"/>
      <c r="AR8" s="130"/>
      <c r="AS8" s="670" t="str">
        <f t="shared" ref="AS8:BJ8" si="2">IFERROR(AVERAGE(AS7:AS7),"-")</f>
        <v>-</v>
      </c>
      <c r="AT8" s="454" t="str">
        <f t="shared" si="2"/>
        <v>-</v>
      </c>
      <c r="AU8" s="455" t="str">
        <f t="shared" si="2"/>
        <v>-</v>
      </c>
      <c r="AV8" s="455" t="str">
        <f t="shared" si="2"/>
        <v>-</v>
      </c>
      <c r="AW8" s="455" t="str">
        <f t="shared" si="2"/>
        <v>-</v>
      </c>
      <c r="AX8" s="455" t="str">
        <f t="shared" si="2"/>
        <v>-</v>
      </c>
      <c r="AY8" s="455" t="str">
        <f t="shared" si="2"/>
        <v>-</v>
      </c>
      <c r="AZ8" s="455" t="str">
        <f t="shared" si="2"/>
        <v>-</v>
      </c>
      <c r="BA8" s="455" t="str">
        <f t="shared" si="2"/>
        <v>-</v>
      </c>
      <c r="BB8" s="455" t="str">
        <f t="shared" si="2"/>
        <v>-</v>
      </c>
      <c r="BC8" s="455" t="str">
        <f t="shared" si="2"/>
        <v>-</v>
      </c>
      <c r="BD8" s="455" t="str">
        <f t="shared" si="2"/>
        <v>-</v>
      </c>
      <c r="BE8" s="455" t="str">
        <f t="shared" si="2"/>
        <v>-</v>
      </c>
      <c r="BF8" s="455" t="str">
        <f t="shared" si="2"/>
        <v>-</v>
      </c>
      <c r="BG8" s="455" t="str">
        <f t="shared" si="2"/>
        <v>-</v>
      </c>
      <c r="BH8" s="455" t="str">
        <f t="shared" si="2"/>
        <v>-</v>
      </c>
      <c r="BI8" s="455" t="str">
        <f t="shared" si="2"/>
        <v>-</v>
      </c>
      <c r="BJ8" s="455" t="str">
        <f t="shared" si="2"/>
        <v>-</v>
      </c>
      <c r="BK8" s="415" t="str">
        <f t="shared" ref="BK8" si="3">IFERROR(AVERAGE(BK7:BK7),"-")</f>
        <v>-</v>
      </c>
      <c r="BL8" s="415" t="str">
        <f t="shared" ref="BL8" si="4">IFERROR(AVERAGE(BL7:BL7),"-")</f>
        <v>-</v>
      </c>
      <c r="BM8" s="415" t="str">
        <f t="shared" ref="BM8" si="5">IFERROR(AVERAGE(BM7:BM7),"-")</f>
        <v>-</v>
      </c>
      <c r="BN8" s="415" t="str">
        <f t="shared" ref="BN8" si="6">IFERROR(AVERAGE(BN7:BN7),"-")</f>
        <v>-</v>
      </c>
      <c r="BO8" s="415" t="str">
        <f t="shared" ref="BO8" si="7">IFERROR(AVERAGE(BO7:BO7),"-")</f>
        <v>-</v>
      </c>
      <c r="BP8" s="415" t="str">
        <f t="shared" ref="BP8" si="8">IFERROR(AVERAGE(BP7:BP7),"-")</f>
        <v>-</v>
      </c>
      <c r="BQ8" s="415" t="str">
        <f t="shared" ref="BQ8" si="9">IFERROR(AVERAGE(BQ7:BQ7),"-")</f>
        <v>-</v>
      </c>
      <c r="BR8" s="415" t="str">
        <f t="shared" ref="BR8" si="10">IFERROR(AVERAGE(BR7:BR7),"-")</f>
        <v>-</v>
      </c>
      <c r="BS8" s="415" t="str">
        <f t="shared" ref="BS8" si="11">IFERROR(AVERAGE(BS7:BS7),"-")</f>
        <v>-</v>
      </c>
      <c r="BT8" s="415" t="str">
        <f t="shared" ref="BT8" si="12">IFERROR(AVERAGE(BT7:BT7),"-")</f>
        <v>-</v>
      </c>
      <c r="BU8" s="415" t="str">
        <f t="shared" ref="BU8" si="13">IFERROR(AVERAGE(BU7:BU7),"-")</f>
        <v>-</v>
      </c>
      <c r="BV8" s="415" t="str">
        <f t="shared" ref="BV8" si="14">IFERROR(AVERAGE(BV7:BV7),"-")</f>
        <v>-</v>
      </c>
      <c r="BW8" s="415" t="str">
        <f t="shared" ref="BW8" si="15">IFERROR(AVERAGE(BW7:BW7),"-")</f>
        <v>-</v>
      </c>
      <c r="BX8" s="429"/>
      <c r="BY8" s="130"/>
      <c r="BZ8" s="616" t="str">
        <f t="shared" ref="BZ8:CQ8" si="16">IFERROR(AVERAGE(BZ7:BZ7),"-")</f>
        <v>-</v>
      </c>
      <c r="CA8" s="59" t="str">
        <f t="shared" si="16"/>
        <v>-</v>
      </c>
      <c r="CB8" s="59" t="str">
        <f t="shared" si="16"/>
        <v>-</v>
      </c>
      <c r="CC8" s="59" t="str">
        <f t="shared" si="16"/>
        <v>-</v>
      </c>
      <c r="CD8" s="59" t="str">
        <f t="shared" si="16"/>
        <v>-</v>
      </c>
      <c r="CE8" s="59" t="str">
        <f t="shared" si="16"/>
        <v>-</v>
      </c>
      <c r="CF8" s="59" t="str">
        <f t="shared" si="16"/>
        <v>-</v>
      </c>
      <c r="CG8" s="59" t="str">
        <f t="shared" si="16"/>
        <v>-</v>
      </c>
      <c r="CH8" s="59" t="str">
        <f t="shared" si="16"/>
        <v>-</v>
      </c>
      <c r="CI8" s="59" t="str">
        <f t="shared" si="16"/>
        <v>-</v>
      </c>
      <c r="CJ8" s="59" t="str">
        <f t="shared" si="16"/>
        <v>-</v>
      </c>
      <c r="CK8" s="59" t="str">
        <f t="shared" si="16"/>
        <v>-</v>
      </c>
      <c r="CL8" s="59" t="str">
        <f t="shared" si="16"/>
        <v>-</v>
      </c>
      <c r="CM8" s="59" t="str">
        <f t="shared" si="16"/>
        <v>-</v>
      </c>
      <c r="CN8" s="59" t="str">
        <f t="shared" si="16"/>
        <v>-</v>
      </c>
      <c r="CO8" s="59" t="str">
        <f t="shared" si="16"/>
        <v>-</v>
      </c>
      <c r="CP8" s="59" t="str">
        <f t="shared" si="16"/>
        <v>-</v>
      </c>
      <c r="CQ8" s="59" t="str">
        <f t="shared" si="16"/>
        <v>-</v>
      </c>
      <c r="CR8" s="415" t="str">
        <f t="shared" ref="CR8" si="17">IFERROR(AVERAGE(CR7:CR7),"-")</f>
        <v>-</v>
      </c>
      <c r="CS8" s="415" t="str">
        <f t="shared" ref="CS8" si="18">IFERROR(AVERAGE(CS7:CS7),"-")</f>
        <v>-</v>
      </c>
      <c r="CT8" s="415" t="str">
        <f t="shared" ref="CT8" si="19">IFERROR(AVERAGE(CT7:CT7),"-")</f>
        <v>-</v>
      </c>
      <c r="CU8" s="415" t="str">
        <f t="shared" ref="CU8" si="20">IFERROR(AVERAGE(CU7:CU7),"-")</f>
        <v>-</v>
      </c>
      <c r="CV8" s="415" t="str">
        <f t="shared" ref="CV8" si="21">IFERROR(AVERAGE(CV7:CV7),"-")</f>
        <v>-</v>
      </c>
      <c r="CW8" s="415" t="str">
        <f t="shared" ref="CW8" si="22">IFERROR(AVERAGE(CW7:CW7),"-")</f>
        <v>-</v>
      </c>
      <c r="CX8" s="415" t="str">
        <f t="shared" ref="CX8" si="23">IFERROR(AVERAGE(CX7:CX7),"-")</f>
        <v>-</v>
      </c>
      <c r="CY8" s="415" t="str">
        <f t="shared" ref="CY8" si="24">IFERROR(AVERAGE(CY7:CY7),"-")</f>
        <v>-</v>
      </c>
      <c r="CZ8" s="415" t="str">
        <f t="shared" ref="CZ8" si="25">IFERROR(AVERAGE(CZ7:CZ7),"-")</f>
        <v>-</v>
      </c>
      <c r="DA8" s="415" t="str">
        <f t="shared" ref="DA8" si="26">IFERROR(AVERAGE(DA7:DA7),"-")</f>
        <v>-</v>
      </c>
      <c r="DB8" s="415" t="str">
        <f t="shared" ref="DB8" si="27">IFERROR(AVERAGE(DB7:DB7),"-")</f>
        <v>-</v>
      </c>
      <c r="DC8" s="415" t="str">
        <f t="shared" ref="DC8" si="28">IFERROR(AVERAGE(DC7:DC7),"-")</f>
        <v>-</v>
      </c>
      <c r="DD8" s="415" t="str">
        <f t="shared" ref="DD8" si="29">IFERROR(AVERAGE(DD7:DD7),"-")</f>
        <v>-</v>
      </c>
      <c r="DE8" s="169"/>
      <c r="DF8" s="130"/>
      <c r="DG8" s="659" t="str">
        <f t="shared" ref="DG8:DL8" si="30">IFERROR(AVERAGE(DG7:DG7),"-")</f>
        <v>-</v>
      </c>
      <c r="DH8" s="59" t="str">
        <f t="shared" si="30"/>
        <v>-</v>
      </c>
      <c r="DI8" s="59" t="str">
        <f t="shared" si="30"/>
        <v>-</v>
      </c>
      <c r="DJ8" s="59" t="str">
        <f t="shared" si="30"/>
        <v>-</v>
      </c>
      <c r="DK8" s="59" t="str">
        <f t="shared" si="30"/>
        <v>-</v>
      </c>
      <c r="DL8" s="668" t="str">
        <f t="shared" si="30"/>
        <v>-</v>
      </c>
      <c r="DM8" s="31"/>
      <c r="DN8" s="32"/>
      <c r="DO8" s="28"/>
      <c r="DP8" s="31"/>
    </row>
    <row r="9" spans="1:120" ht="27" thickBot="1" x14ac:dyDescent="0.3">
      <c r="AQ9" s="202"/>
      <c r="AR9" s="209" t="s">
        <v>296</v>
      </c>
      <c r="AS9" s="670"/>
      <c r="AT9" s="424"/>
      <c r="AU9" s="134"/>
      <c r="AV9" s="134"/>
      <c r="AW9" s="134"/>
      <c r="AX9" s="134"/>
      <c r="AY9" s="134"/>
      <c r="AZ9" s="134"/>
      <c r="BA9" s="134"/>
      <c r="BB9" s="134"/>
      <c r="BC9" s="134"/>
      <c r="BD9" s="134"/>
      <c r="BE9" s="134"/>
      <c r="BF9" s="134"/>
      <c r="BG9" s="134"/>
      <c r="BH9" s="134"/>
      <c r="BI9" s="134"/>
      <c r="BJ9" s="134"/>
      <c r="BX9" s="115"/>
      <c r="BY9" s="211" t="s">
        <v>523</v>
      </c>
      <c r="BZ9" s="617"/>
      <c r="DE9" s="202"/>
      <c r="DF9" s="62" t="s">
        <v>298</v>
      </c>
      <c r="DG9" s="659"/>
      <c r="DK9" s="430" t="s">
        <v>295</v>
      </c>
      <c r="DL9" s="669"/>
    </row>
    <row r="12" spans="1:120" ht="42" customHeight="1" x14ac:dyDescent="0.25">
      <c r="E12" s="679" t="s">
        <v>580</v>
      </c>
      <c r="F12" s="680"/>
      <c r="G12" s="680"/>
      <c r="H12" s="680"/>
      <c r="I12" s="680"/>
      <c r="J12" s="681"/>
      <c r="K12" s="520" t="s">
        <v>577</v>
      </c>
      <c r="L12" s="419" t="s">
        <v>578</v>
      </c>
      <c r="N12" s="37"/>
      <c r="O12" s="37"/>
      <c r="P12" s="37"/>
      <c r="Q12" s="37"/>
      <c r="R12" s="37"/>
      <c r="S12" s="37"/>
      <c r="T12" s="37"/>
      <c r="U12" s="37"/>
      <c r="V12" s="37"/>
      <c r="W12" s="37"/>
      <c r="X12" s="37"/>
      <c r="Y12" s="37"/>
      <c r="Z12" s="37"/>
      <c r="AA12" s="37"/>
      <c r="AB12" s="37"/>
      <c r="AC12" s="37"/>
      <c r="AD12" s="520" t="s">
        <v>582</v>
      </c>
      <c r="AE12" s="520" t="s">
        <v>583</v>
      </c>
      <c r="AF12" s="520" t="s">
        <v>581</v>
      </c>
      <c r="AT12" s="420" t="s">
        <v>582</v>
      </c>
      <c r="AU12" s="420" t="s">
        <v>729</v>
      </c>
      <c r="AV12" s="420" t="s">
        <v>583</v>
      </c>
      <c r="AW12" s="449" t="s">
        <v>581</v>
      </c>
      <c r="AX12" s="449" t="s">
        <v>731</v>
      </c>
      <c r="BX12" s="29"/>
      <c r="BZ12"/>
      <c r="CA12" s="420" t="s">
        <v>582</v>
      </c>
      <c r="CB12" s="420" t="s">
        <v>729</v>
      </c>
      <c r="CC12" s="420" t="s">
        <v>735</v>
      </c>
      <c r="CD12" s="420" t="s">
        <v>583</v>
      </c>
      <c r="CE12" s="472" t="s">
        <v>581</v>
      </c>
      <c r="CF12" s="472" t="s">
        <v>731</v>
      </c>
      <c r="CG12" s="56"/>
      <c r="CH12" s="56"/>
      <c r="CI12" s="56"/>
      <c r="CJ12" s="56"/>
      <c r="CK12" s="56"/>
      <c r="CL12" s="56"/>
      <c r="CM12" s="56"/>
      <c r="CN12" s="56"/>
      <c r="CO12" s="56"/>
      <c r="DE12" s="29"/>
      <c r="DF12" s="29"/>
      <c r="DG12"/>
      <c r="DH12"/>
    </row>
    <row r="13" spans="1:120" hidden="1" x14ac:dyDescent="0.25">
      <c r="E13" s="672" t="s">
        <v>668</v>
      </c>
      <c r="F13" s="673"/>
      <c r="G13" s="673"/>
      <c r="H13" s="673"/>
      <c r="I13" s="673"/>
      <c r="J13" s="674"/>
      <c r="K13" s="375">
        <v>1</v>
      </c>
      <c r="L13" s="298">
        <v>2.69E-2</v>
      </c>
      <c r="AD13" s="376">
        <f>+M7</f>
        <v>0</v>
      </c>
      <c r="AE13" s="416">
        <f>IFERROR(IF(AD13&gt;1,1,(AD13*100%)/1),"-")</f>
        <v>0</v>
      </c>
      <c r="AF13" s="417">
        <f t="shared" ref="AF13:AF25" si="31">+IF(AE13=100%,L13,(+AE13*L13))</f>
        <v>0</v>
      </c>
      <c r="AT13" s="376">
        <f>+AT7</f>
        <v>0</v>
      </c>
      <c r="AU13" s="376">
        <f t="shared" ref="AU13:AU42" si="32">+AD13</f>
        <v>0</v>
      </c>
      <c r="AV13" s="416">
        <f>IFERROR(IF(AVERAGE(AT13,AU13)&gt;=1,1,(AVERAGE(AT13,AU13)*100%)/1),"-")</f>
        <v>0</v>
      </c>
      <c r="AW13" s="417">
        <f t="shared" ref="AW13:AW42" si="33">+IF(AV13=100%,L13,(+AV13*L13))</f>
        <v>0</v>
      </c>
      <c r="AX13" s="685">
        <f>+AW43</f>
        <v>0</v>
      </c>
      <c r="BX13" s="29"/>
      <c r="BZ13"/>
      <c r="CA13" s="376">
        <f>+CA7</f>
        <v>0</v>
      </c>
      <c r="CB13" s="376">
        <f t="shared" ref="CB13:CB42" si="34">+AD13</f>
        <v>0</v>
      </c>
      <c r="CC13" s="376">
        <f>+AT13</f>
        <v>0</v>
      </c>
      <c r="CD13" s="416">
        <f>IFERROR(IF(AVERAGE(CA13:CC13)&gt;=1,1,(AVERAGE(CA13:CC13)*100%)/1),"-")</f>
        <v>0</v>
      </c>
      <c r="CE13" s="417">
        <f t="shared" ref="CE13:CE42" si="35">+IF(CD13=100%,L13,(+CD13*L13))</f>
        <v>0</v>
      </c>
      <c r="CF13" s="688">
        <f>+AVERAGE(AF43,AW43,CE43)</f>
        <v>0</v>
      </c>
      <c r="CG13" s="56"/>
      <c r="CH13" s="56"/>
      <c r="CI13" s="56"/>
      <c r="CJ13" s="56"/>
      <c r="CK13" s="56"/>
      <c r="CL13" s="56"/>
      <c r="CM13" s="56"/>
      <c r="CN13" s="56"/>
      <c r="CO13" s="56"/>
      <c r="DE13" s="29"/>
      <c r="DF13" s="29"/>
      <c r="DG13"/>
      <c r="DH13"/>
    </row>
    <row r="14" spans="1:120" hidden="1" x14ac:dyDescent="0.25">
      <c r="E14" s="672" t="s">
        <v>669</v>
      </c>
      <c r="F14" s="673"/>
      <c r="G14" s="673"/>
      <c r="H14" s="673"/>
      <c r="I14" s="673"/>
      <c r="J14" s="674"/>
      <c r="K14" s="375">
        <v>1</v>
      </c>
      <c r="L14" s="298">
        <v>2.5000000000000001E-2</v>
      </c>
      <c r="AD14" s="376">
        <f>+N7</f>
        <v>0</v>
      </c>
      <c r="AE14" s="416">
        <f t="shared" ref="AE14:AE42" si="36">IFERROR(IF(AD14&gt;1,1,(AD14*100%)/1),"-")</f>
        <v>0</v>
      </c>
      <c r="AF14" s="417">
        <f t="shared" si="31"/>
        <v>0</v>
      </c>
      <c r="AT14" s="376">
        <f>+AU7</f>
        <v>0</v>
      </c>
      <c r="AU14" s="376">
        <f t="shared" si="32"/>
        <v>0</v>
      </c>
      <c r="AV14" s="416">
        <f t="shared" ref="AV14:AV42" si="37">IFERROR(IF(AVERAGE(AT14,AU14)&gt;=1,1,(AVERAGE(AT14,AU14)*100%)/1),"-")</f>
        <v>0</v>
      </c>
      <c r="AW14" s="417">
        <f t="shared" si="33"/>
        <v>0</v>
      </c>
      <c r="AX14" s="686"/>
      <c r="BX14" s="29"/>
      <c r="BZ14"/>
      <c r="CA14" s="376">
        <f>+CB7</f>
        <v>0</v>
      </c>
      <c r="CB14" s="376">
        <f t="shared" si="34"/>
        <v>0</v>
      </c>
      <c r="CC14" s="376">
        <f t="shared" ref="CC14:CC42" si="38">+AT14</f>
        <v>0</v>
      </c>
      <c r="CD14" s="416">
        <f t="shared" ref="CD14:CD42" si="39">IFERROR(IF(AVERAGE(CA14:CC14)&gt;=1,1,(AVERAGE(CA14:CC14)*100%)/1),"-")</f>
        <v>0</v>
      </c>
      <c r="CE14" s="417">
        <f t="shared" si="35"/>
        <v>0</v>
      </c>
      <c r="CF14" s="688"/>
      <c r="CG14" s="56"/>
      <c r="CH14" s="56"/>
      <c r="CI14" s="56"/>
      <c r="CJ14" s="56"/>
      <c r="CK14" s="56"/>
      <c r="CL14" s="56"/>
      <c r="CM14" s="56"/>
      <c r="CN14" s="56"/>
      <c r="CO14" s="56"/>
      <c r="DE14" s="29"/>
      <c r="DF14" s="29"/>
      <c r="DG14"/>
      <c r="DH14"/>
    </row>
    <row r="15" spans="1:120" hidden="1" x14ac:dyDescent="0.25">
      <c r="E15" s="672" t="s">
        <v>670</v>
      </c>
      <c r="F15" s="673"/>
      <c r="G15" s="673"/>
      <c r="H15" s="673"/>
      <c r="I15" s="673"/>
      <c r="J15" s="674"/>
      <c r="K15" s="375">
        <v>1</v>
      </c>
      <c r="L15" s="298">
        <v>2.5000000000000001E-2</v>
      </c>
      <c r="AD15" s="376">
        <f>+O7</f>
        <v>0</v>
      </c>
      <c r="AE15" s="416">
        <f t="shared" si="36"/>
        <v>0</v>
      </c>
      <c r="AF15" s="417">
        <f t="shared" si="31"/>
        <v>0</v>
      </c>
      <c r="AT15" s="376">
        <f>+AV7</f>
        <v>0</v>
      </c>
      <c r="AU15" s="376">
        <f t="shared" si="32"/>
        <v>0</v>
      </c>
      <c r="AV15" s="416">
        <f t="shared" si="37"/>
        <v>0</v>
      </c>
      <c r="AW15" s="417">
        <f t="shared" si="33"/>
        <v>0</v>
      </c>
      <c r="AX15" s="686"/>
      <c r="BX15" s="29"/>
      <c r="BZ15"/>
      <c r="CA15" s="376">
        <f>+CC7</f>
        <v>0</v>
      </c>
      <c r="CB15" s="376">
        <f t="shared" si="34"/>
        <v>0</v>
      </c>
      <c r="CC15" s="376">
        <f t="shared" si="38"/>
        <v>0</v>
      </c>
      <c r="CD15" s="416">
        <f t="shared" si="39"/>
        <v>0</v>
      </c>
      <c r="CE15" s="417">
        <f t="shared" si="35"/>
        <v>0</v>
      </c>
      <c r="CF15" s="688"/>
      <c r="CG15" s="56"/>
      <c r="CH15" s="56"/>
      <c r="CI15" s="56"/>
      <c r="CJ15" s="56"/>
      <c r="CK15" s="56"/>
      <c r="CL15" s="56"/>
      <c r="CM15" s="56"/>
      <c r="CN15" s="56"/>
      <c r="CO15" s="56"/>
      <c r="DE15" s="29"/>
      <c r="DF15" s="29"/>
      <c r="DG15"/>
      <c r="DH15"/>
    </row>
    <row r="16" spans="1:120" hidden="1" x14ac:dyDescent="0.25">
      <c r="E16" s="672" t="s">
        <v>671</v>
      </c>
      <c r="F16" s="673"/>
      <c r="G16" s="673"/>
      <c r="H16" s="673"/>
      <c r="I16" s="673"/>
      <c r="J16" s="674"/>
      <c r="K16" s="375">
        <v>1</v>
      </c>
      <c r="L16" s="298">
        <v>2.5000000000000001E-2</v>
      </c>
      <c r="AD16" s="376">
        <f>+P7</f>
        <v>0</v>
      </c>
      <c r="AE16" s="416">
        <f t="shared" si="36"/>
        <v>0</v>
      </c>
      <c r="AF16" s="417">
        <f t="shared" si="31"/>
        <v>0</v>
      </c>
      <c r="AT16" s="376">
        <f>+AW7</f>
        <v>0</v>
      </c>
      <c r="AU16" s="376">
        <f t="shared" si="32"/>
        <v>0</v>
      </c>
      <c r="AV16" s="416">
        <f t="shared" si="37"/>
        <v>0</v>
      </c>
      <c r="AW16" s="417">
        <f t="shared" si="33"/>
        <v>0</v>
      </c>
      <c r="AX16" s="686"/>
      <c r="BX16" s="29"/>
      <c r="BZ16"/>
      <c r="CA16" s="376">
        <f>+CD7</f>
        <v>0</v>
      </c>
      <c r="CB16" s="376">
        <f t="shared" si="34"/>
        <v>0</v>
      </c>
      <c r="CC16" s="376">
        <f t="shared" si="38"/>
        <v>0</v>
      </c>
      <c r="CD16" s="416">
        <f t="shared" si="39"/>
        <v>0</v>
      </c>
      <c r="CE16" s="417">
        <f t="shared" si="35"/>
        <v>0</v>
      </c>
      <c r="CF16" s="688"/>
      <c r="CG16" s="56"/>
      <c r="CH16" s="56"/>
      <c r="CI16" s="56"/>
      <c r="CJ16" s="56"/>
      <c r="CK16" s="56"/>
      <c r="CL16" s="56"/>
      <c r="CM16" s="56"/>
      <c r="CN16" s="56"/>
      <c r="CO16" s="56"/>
      <c r="DE16" s="29"/>
      <c r="DF16" s="29"/>
      <c r="DG16"/>
      <c r="DH16"/>
    </row>
    <row r="17" spans="5:112" hidden="1" x14ac:dyDescent="0.25">
      <c r="E17" s="672" t="s">
        <v>672</v>
      </c>
      <c r="F17" s="673"/>
      <c r="G17" s="673"/>
      <c r="H17" s="673"/>
      <c r="I17" s="673"/>
      <c r="J17" s="674"/>
      <c r="K17" s="375">
        <v>1</v>
      </c>
      <c r="L17" s="298">
        <v>2.5000000000000001E-2</v>
      </c>
      <c r="AD17" s="376">
        <f>+Q7</f>
        <v>0</v>
      </c>
      <c r="AE17" s="416">
        <f t="shared" si="36"/>
        <v>0</v>
      </c>
      <c r="AF17" s="417">
        <f t="shared" si="31"/>
        <v>0</v>
      </c>
      <c r="AT17" s="376">
        <f>+AX7</f>
        <v>0</v>
      </c>
      <c r="AU17" s="376">
        <f t="shared" si="32"/>
        <v>0</v>
      </c>
      <c r="AV17" s="416">
        <f t="shared" si="37"/>
        <v>0</v>
      </c>
      <c r="AW17" s="417">
        <f t="shared" si="33"/>
        <v>0</v>
      </c>
      <c r="AX17" s="686"/>
      <c r="BX17" s="29"/>
      <c r="BZ17"/>
      <c r="CA17" s="376">
        <f>+CE7</f>
        <v>0</v>
      </c>
      <c r="CB17" s="376">
        <f t="shared" si="34"/>
        <v>0</v>
      </c>
      <c r="CC17" s="376">
        <f t="shared" si="38"/>
        <v>0</v>
      </c>
      <c r="CD17" s="416">
        <f t="shared" si="39"/>
        <v>0</v>
      </c>
      <c r="CE17" s="417">
        <f t="shared" si="35"/>
        <v>0</v>
      </c>
      <c r="CF17" s="688"/>
      <c r="CG17" s="56"/>
      <c r="CH17" s="56"/>
      <c r="CI17" s="56"/>
      <c r="CJ17" s="56"/>
      <c r="CK17" s="56"/>
      <c r="CL17" s="56"/>
      <c r="CM17" s="56"/>
      <c r="CN17" s="56"/>
      <c r="CO17" s="56"/>
      <c r="DE17" s="29"/>
      <c r="DF17" s="29"/>
      <c r="DG17"/>
      <c r="DH17"/>
    </row>
    <row r="18" spans="5:112" hidden="1" x14ac:dyDescent="0.25">
      <c r="E18" s="672" t="s">
        <v>673</v>
      </c>
      <c r="F18" s="673"/>
      <c r="G18" s="673"/>
      <c r="H18" s="673"/>
      <c r="I18" s="673"/>
      <c r="J18" s="674"/>
      <c r="K18" s="375">
        <v>1</v>
      </c>
      <c r="L18" s="298">
        <v>2.5000000000000001E-2</v>
      </c>
      <c r="AD18" s="376">
        <f>+R7</f>
        <v>0</v>
      </c>
      <c r="AE18" s="416">
        <f t="shared" si="36"/>
        <v>0</v>
      </c>
      <c r="AF18" s="417">
        <f t="shared" si="31"/>
        <v>0</v>
      </c>
      <c r="AT18" s="376">
        <f>+AY7</f>
        <v>0</v>
      </c>
      <c r="AU18" s="376">
        <f t="shared" si="32"/>
        <v>0</v>
      </c>
      <c r="AV18" s="416">
        <f t="shared" si="37"/>
        <v>0</v>
      </c>
      <c r="AW18" s="417">
        <f t="shared" si="33"/>
        <v>0</v>
      </c>
      <c r="AX18" s="686"/>
      <c r="BX18" s="29"/>
      <c r="BZ18"/>
      <c r="CA18" s="376">
        <f>+CF7</f>
        <v>0</v>
      </c>
      <c r="CB18" s="376">
        <f t="shared" si="34"/>
        <v>0</v>
      </c>
      <c r="CC18" s="376">
        <f t="shared" si="38"/>
        <v>0</v>
      </c>
      <c r="CD18" s="416">
        <f t="shared" si="39"/>
        <v>0</v>
      </c>
      <c r="CE18" s="417">
        <f t="shared" si="35"/>
        <v>0</v>
      </c>
      <c r="CF18" s="688"/>
      <c r="CG18" s="56"/>
      <c r="CH18" s="56"/>
      <c r="CI18" s="56"/>
      <c r="CJ18" s="56"/>
      <c r="CK18" s="56"/>
      <c r="CL18" s="56"/>
      <c r="CM18" s="56"/>
      <c r="CN18" s="56"/>
      <c r="CO18" s="56"/>
      <c r="DE18" s="29"/>
      <c r="DF18" s="29"/>
      <c r="DG18"/>
      <c r="DH18"/>
    </row>
    <row r="19" spans="5:112" hidden="1" x14ac:dyDescent="0.25">
      <c r="E19" s="672" t="s">
        <v>674</v>
      </c>
      <c r="F19" s="673"/>
      <c r="G19" s="673"/>
      <c r="H19" s="673"/>
      <c r="I19" s="673"/>
      <c r="J19" s="674"/>
      <c r="K19" s="375">
        <v>1</v>
      </c>
      <c r="L19" s="298">
        <v>2.5000000000000001E-2</v>
      </c>
      <c r="AD19" s="376">
        <f>+S7</f>
        <v>0</v>
      </c>
      <c r="AE19" s="416">
        <f t="shared" si="36"/>
        <v>0</v>
      </c>
      <c r="AF19" s="417">
        <f t="shared" si="31"/>
        <v>0</v>
      </c>
      <c r="AT19" s="376">
        <f>+AZ7</f>
        <v>0</v>
      </c>
      <c r="AU19" s="376">
        <f t="shared" si="32"/>
        <v>0</v>
      </c>
      <c r="AV19" s="416">
        <f t="shared" si="37"/>
        <v>0</v>
      </c>
      <c r="AW19" s="417">
        <f t="shared" si="33"/>
        <v>0</v>
      </c>
      <c r="AX19" s="686"/>
      <c r="BX19" s="29"/>
      <c r="BZ19"/>
      <c r="CA19" s="376">
        <f>+CG7</f>
        <v>0</v>
      </c>
      <c r="CB19" s="376">
        <f t="shared" si="34"/>
        <v>0</v>
      </c>
      <c r="CC19" s="376">
        <f t="shared" si="38"/>
        <v>0</v>
      </c>
      <c r="CD19" s="416">
        <f t="shared" si="39"/>
        <v>0</v>
      </c>
      <c r="CE19" s="417">
        <f t="shared" si="35"/>
        <v>0</v>
      </c>
      <c r="CF19" s="688"/>
      <c r="CG19" s="56"/>
      <c r="CH19" s="56"/>
      <c r="CI19" s="56"/>
      <c r="CJ19" s="56"/>
      <c r="CK19" s="56"/>
      <c r="CL19" s="56"/>
      <c r="CM19" s="56"/>
      <c r="CN19" s="56"/>
      <c r="CO19" s="56"/>
      <c r="DE19" s="29"/>
      <c r="DF19" s="29"/>
      <c r="DG19"/>
      <c r="DH19"/>
    </row>
    <row r="20" spans="5:112" hidden="1" x14ac:dyDescent="0.25">
      <c r="E20" s="672" t="s">
        <v>675</v>
      </c>
      <c r="F20" s="673"/>
      <c r="G20" s="673"/>
      <c r="H20" s="673"/>
      <c r="I20" s="673"/>
      <c r="J20" s="674"/>
      <c r="K20" s="375">
        <v>1</v>
      </c>
      <c r="L20" s="298">
        <v>2.5000000000000001E-2</v>
      </c>
      <c r="AD20" s="376">
        <f>+T7</f>
        <v>0</v>
      </c>
      <c r="AE20" s="416">
        <f t="shared" si="36"/>
        <v>0</v>
      </c>
      <c r="AF20" s="417">
        <f t="shared" si="31"/>
        <v>0</v>
      </c>
      <c r="AT20" s="376">
        <f>+BA7</f>
        <v>0</v>
      </c>
      <c r="AU20" s="376">
        <f t="shared" si="32"/>
        <v>0</v>
      </c>
      <c r="AV20" s="416">
        <f t="shared" si="37"/>
        <v>0</v>
      </c>
      <c r="AW20" s="417">
        <f t="shared" si="33"/>
        <v>0</v>
      </c>
      <c r="AX20" s="686"/>
      <c r="BX20" s="29"/>
      <c r="BZ20"/>
      <c r="CA20" s="376">
        <f>+CH7</f>
        <v>0</v>
      </c>
      <c r="CB20" s="376">
        <f t="shared" si="34"/>
        <v>0</v>
      </c>
      <c r="CC20" s="376">
        <f t="shared" si="38"/>
        <v>0</v>
      </c>
      <c r="CD20" s="416">
        <f t="shared" si="39"/>
        <v>0</v>
      </c>
      <c r="CE20" s="417">
        <f t="shared" si="35"/>
        <v>0</v>
      </c>
      <c r="CF20" s="688"/>
      <c r="CG20" s="56"/>
      <c r="CH20" s="56"/>
      <c r="CI20" s="56"/>
      <c r="CJ20" s="56"/>
      <c r="CK20" s="56"/>
      <c r="CL20" s="56"/>
      <c r="CM20" s="56"/>
      <c r="CN20" s="56"/>
      <c r="CO20" s="56"/>
      <c r="DE20" s="29"/>
      <c r="DF20" s="29"/>
      <c r="DG20"/>
      <c r="DH20"/>
    </row>
    <row r="21" spans="5:112" hidden="1" x14ac:dyDescent="0.25">
      <c r="E21" s="672" t="s">
        <v>676</v>
      </c>
      <c r="F21" s="673"/>
      <c r="G21" s="673"/>
      <c r="H21" s="673"/>
      <c r="I21" s="673"/>
      <c r="J21" s="674"/>
      <c r="K21" s="375">
        <v>1</v>
      </c>
      <c r="L21" s="298">
        <v>2.5000000000000001E-2</v>
      </c>
      <c r="AD21" s="376">
        <f>+U7</f>
        <v>0</v>
      </c>
      <c r="AE21" s="416">
        <f t="shared" si="36"/>
        <v>0</v>
      </c>
      <c r="AF21" s="417">
        <f t="shared" si="31"/>
        <v>0</v>
      </c>
      <c r="AT21" s="376">
        <f>+BB7</f>
        <v>0</v>
      </c>
      <c r="AU21" s="376">
        <f t="shared" si="32"/>
        <v>0</v>
      </c>
      <c r="AV21" s="416">
        <f t="shared" si="37"/>
        <v>0</v>
      </c>
      <c r="AW21" s="417">
        <f t="shared" si="33"/>
        <v>0</v>
      </c>
      <c r="AX21" s="686"/>
      <c r="BX21" s="29"/>
      <c r="BZ21"/>
      <c r="CA21" s="376">
        <f>+CI7</f>
        <v>0</v>
      </c>
      <c r="CB21" s="376">
        <f t="shared" si="34"/>
        <v>0</v>
      </c>
      <c r="CC21" s="376">
        <f t="shared" si="38"/>
        <v>0</v>
      </c>
      <c r="CD21" s="416">
        <f t="shared" si="39"/>
        <v>0</v>
      </c>
      <c r="CE21" s="417">
        <f t="shared" si="35"/>
        <v>0</v>
      </c>
      <c r="CF21" s="688"/>
      <c r="CG21" s="56"/>
      <c r="CH21" s="56"/>
      <c r="CI21" s="56"/>
      <c r="CJ21" s="56"/>
      <c r="CK21" s="56"/>
      <c r="CL21" s="56"/>
      <c r="CM21" s="56"/>
      <c r="CN21" s="56"/>
      <c r="CO21" s="56"/>
      <c r="DE21" s="29"/>
      <c r="DF21" s="29"/>
      <c r="DG21"/>
      <c r="DH21"/>
    </row>
    <row r="22" spans="5:112" hidden="1" x14ac:dyDescent="0.25">
      <c r="E22" s="672" t="s">
        <v>677</v>
      </c>
      <c r="F22" s="673"/>
      <c r="G22" s="673"/>
      <c r="H22" s="673"/>
      <c r="I22" s="673"/>
      <c r="J22" s="674"/>
      <c r="K22" s="375">
        <v>1</v>
      </c>
      <c r="L22" s="298">
        <v>2.5000000000000001E-2</v>
      </c>
      <c r="AD22" s="376">
        <f>+V7</f>
        <v>0</v>
      </c>
      <c r="AE22" s="416">
        <f t="shared" si="36"/>
        <v>0</v>
      </c>
      <c r="AF22" s="417">
        <f t="shared" si="31"/>
        <v>0</v>
      </c>
      <c r="AT22" s="376">
        <f>+BC7</f>
        <v>0</v>
      </c>
      <c r="AU22" s="376">
        <f t="shared" si="32"/>
        <v>0</v>
      </c>
      <c r="AV22" s="416">
        <f t="shared" si="37"/>
        <v>0</v>
      </c>
      <c r="AW22" s="417">
        <f t="shared" si="33"/>
        <v>0</v>
      </c>
      <c r="AX22" s="686"/>
      <c r="BX22" s="29"/>
      <c r="BZ22"/>
      <c r="CA22" s="376">
        <f>+CJ7</f>
        <v>0</v>
      </c>
      <c r="CB22" s="376">
        <f t="shared" si="34"/>
        <v>0</v>
      </c>
      <c r="CC22" s="376">
        <f t="shared" si="38"/>
        <v>0</v>
      </c>
      <c r="CD22" s="416">
        <f t="shared" si="39"/>
        <v>0</v>
      </c>
      <c r="CE22" s="417">
        <f t="shared" si="35"/>
        <v>0</v>
      </c>
      <c r="CF22" s="688"/>
      <c r="CG22" s="56"/>
      <c r="CH22" s="56"/>
      <c r="CI22" s="56"/>
      <c r="CJ22" s="56"/>
      <c r="CK22" s="56"/>
      <c r="CL22" s="56"/>
      <c r="CM22" s="56"/>
      <c r="CN22" s="56"/>
      <c r="CO22" s="56"/>
      <c r="DE22" s="29"/>
      <c r="DF22" s="29"/>
      <c r="DG22"/>
      <c r="DH22"/>
    </row>
    <row r="23" spans="5:112" hidden="1" x14ac:dyDescent="0.25">
      <c r="E23" s="672" t="s">
        <v>678</v>
      </c>
      <c r="F23" s="673"/>
      <c r="G23" s="673"/>
      <c r="H23" s="673"/>
      <c r="I23" s="673"/>
      <c r="J23" s="674"/>
      <c r="K23" s="375">
        <v>1</v>
      </c>
      <c r="L23" s="298">
        <v>2.5000000000000001E-2</v>
      </c>
      <c r="AD23" s="376">
        <f>+W7</f>
        <v>0</v>
      </c>
      <c r="AE23" s="416">
        <f t="shared" si="36"/>
        <v>0</v>
      </c>
      <c r="AF23" s="417">
        <f t="shared" si="31"/>
        <v>0</v>
      </c>
      <c r="AT23" s="376">
        <f>+BD7</f>
        <v>0</v>
      </c>
      <c r="AU23" s="376">
        <f t="shared" si="32"/>
        <v>0</v>
      </c>
      <c r="AV23" s="416">
        <f t="shared" si="37"/>
        <v>0</v>
      </c>
      <c r="AW23" s="417">
        <f>+IF(AV23=100%,L23,(+AV23*L23))</f>
        <v>0</v>
      </c>
      <c r="AX23" s="686"/>
      <c r="BX23" s="29"/>
      <c r="BZ23"/>
      <c r="CA23" s="376">
        <f>+CK7</f>
        <v>0</v>
      </c>
      <c r="CB23" s="376">
        <f t="shared" si="34"/>
        <v>0</v>
      </c>
      <c r="CC23" s="376">
        <f t="shared" si="38"/>
        <v>0</v>
      </c>
      <c r="CD23" s="416">
        <f t="shared" si="39"/>
        <v>0</v>
      </c>
      <c r="CE23" s="417">
        <f t="shared" si="35"/>
        <v>0</v>
      </c>
      <c r="CF23" s="688"/>
      <c r="CG23" s="56"/>
      <c r="CH23" s="56"/>
      <c r="CI23" s="56"/>
      <c r="CJ23" s="56"/>
      <c r="CK23" s="56"/>
      <c r="CL23" s="56"/>
      <c r="CM23" s="56"/>
      <c r="CN23" s="56"/>
      <c r="CO23" s="56"/>
      <c r="DE23" s="29"/>
      <c r="DF23" s="29"/>
      <c r="DG23"/>
      <c r="DH23"/>
    </row>
    <row r="24" spans="5:112" hidden="1" x14ac:dyDescent="0.25">
      <c r="E24" s="682" t="s">
        <v>679</v>
      </c>
      <c r="F24" s="683"/>
      <c r="G24" s="683"/>
      <c r="H24" s="683"/>
      <c r="I24" s="683"/>
      <c r="J24" s="684"/>
      <c r="K24" s="375">
        <v>1</v>
      </c>
      <c r="L24" s="298">
        <v>2.5000000000000001E-2</v>
      </c>
      <c r="AD24" s="376">
        <f>+X7</f>
        <v>0</v>
      </c>
      <c r="AE24" s="416">
        <f t="shared" si="36"/>
        <v>0</v>
      </c>
      <c r="AF24" s="417">
        <f t="shared" si="31"/>
        <v>0</v>
      </c>
      <c r="AT24" s="376">
        <f>+BE7</f>
        <v>0</v>
      </c>
      <c r="AU24" s="376">
        <f t="shared" si="32"/>
        <v>0</v>
      </c>
      <c r="AV24" s="416">
        <f t="shared" si="37"/>
        <v>0</v>
      </c>
      <c r="AW24" s="417">
        <f t="shared" si="33"/>
        <v>0</v>
      </c>
      <c r="AX24" s="686"/>
      <c r="BX24" s="29"/>
      <c r="BZ24"/>
      <c r="CA24" s="376">
        <f>+CL7</f>
        <v>0</v>
      </c>
      <c r="CB24" s="376">
        <f t="shared" si="34"/>
        <v>0</v>
      </c>
      <c r="CC24" s="376">
        <f t="shared" si="38"/>
        <v>0</v>
      </c>
      <c r="CD24" s="416">
        <f t="shared" si="39"/>
        <v>0</v>
      </c>
      <c r="CE24" s="417">
        <f t="shared" si="35"/>
        <v>0</v>
      </c>
      <c r="CF24" s="688"/>
      <c r="CG24" s="56"/>
      <c r="CH24" s="56"/>
      <c r="CI24" s="56"/>
      <c r="CJ24" s="56"/>
      <c r="CK24" s="56"/>
      <c r="CL24" s="56"/>
      <c r="CM24" s="56"/>
      <c r="CN24" s="56"/>
      <c r="CO24" s="56"/>
      <c r="DE24" s="29"/>
      <c r="DF24" s="29"/>
      <c r="DG24"/>
      <c r="DH24"/>
    </row>
    <row r="25" spans="5:112" hidden="1" x14ac:dyDescent="0.25">
      <c r="E25" s="672" t="s">
        <v>680</v>
      </c>
      <c r="F25" s="673"/>
      <c r="G25" s="673"/>
      <c r="H25" s="673"/>
      <c r="I25" s="673"/>
      <c r="J25" s="674"/>
      <c r="K25" s="375">
        <v>1</v>
      </c>
      <c r="L25" s="298">
        <v>2.5000000000000001E-2</v>
      </c>
      <c r="AD25" s="376">
        <f>+Y7</f>
        <v>0</v>
      </c>
      <c r="AE25" s="416">
        <f t="shared" si="36"/>
        <v>0</v>
      </c>
      <c r="AF25" s="417">
        <f t="shared" si="31"/>
        <v>0</v>
      </c>
      <c r="AT25" s="376">
        <f>+BF7</f>
        <v>0</v>
      </c>
      <c r="AU25" s="376">
        <f t="shared" si="32"/>
        <v>0</v>
      </c>
      <c r="AV25" s="416">
        <f t="shared" si="37"/>
        <v>0</v>
      </c>
      <c r="AW25" s="417">
        <f t="shared" si="33"/>
        <v>0</v>
      </c>
      <c r="AX25" s="686"/>
      <c r="BX25" s="29"/>
      <c r="BZ25"/>
      <c r="CA25" s="376">
        <f>+CM7</f>
        <v>0</v>
      </c>
      <c r="CB25" s="376">
        <f t="shared" si="34"/>
        <v>0</v>
      </c>
      <c r="CC25" s="376">
        <f t="shared" si="38"/>
        <v>0</v>
      </c>
      <c r="CD25" s="416">
        <f t="shared" si="39"/>
        <v>0</v>
      </c>
      <c r="CE25" s="417">
        <f t="shared" si="35"/>
        <v>0</v>
      </c>
      <c r="CF25" s="688"/>
      <c r="CG25" s="56"/>
      <c r="CH25" s="56"/>
      <c r="CI25" s="56"/>
      <c r="CJ25" s="56"/>
      <c r="CK25" s="56"/>
      <c r="CL25" s="56"/>
      <c r="CM25" s="56"/>
      <c r="CN25" s="56"/>
      <c r="CO25" s="56"/>
      <c r="DE25" s="29"/>
      <c r="DF25" s="29"/>
      <c r="DG25"/>
      <c r="DH25"/>
    </row>
    <row r="26" spans="5:112" hidden="1" x14ac:dyDescent="0.25">
      <c r="E26" s="672" t="s">
        <v>681</v>
      </c>
      <c r="F26" s="673"/>
      <c r="G26" s="673"/>
      <c r="H26" s="673"/>
      <c r="I26" s="673"/>
      <c r="J26" s="674"/>
      <c r="K26" s="375">
        <v>1</v>
      </c>
      <c r="L26" s="298">
        <v>2.5000000000000001E-2</v>
      </c>
      <c r="AD26" s="376">
        <f>+Z7</f>
        <v>0</v>
      </c>
      <c r="AE26" s="416">
        <f t="shared" si="36"/>
        <v>0</v>
      </c>
      <c r="AF26" s="417">
        <f t="shared" ref="AF26:AF42" si="40">+IFERROR(IF(AE26=100%,L26,(+AE26*L26)),"-")</f>
        <v>0</v>
      </c>
      <c r="AT26" s="376">
        <f>+BG7</f>
        <v>0</v>
      </c>
      <c r="AU26" s="376">
        <f t="shared" si="32"/>
        <v>0</v>
      </c>
      <c r="AV26" s="416">
        <f t="shared" si="37"/>
        <v>0</v>
      </c>
      <c r="AW26" s="417">
        <f t="shared" si="33"/>
        <v>0</v>
      </c>
      <c r="AX26" s="686"/>
      <c r="BX26" s="29"/>
      <c r="BZ26"/>
      <c r="CA26" s="376">
        <f>+CN7</f>
        <v>0</v>
      </c>
      <c r="CB26" s="376">
        <f t="shared" si="34"/>
        <v>0</v>
      </c>
      <c r="CC26" s="376">
        <f t="shared" si="38"/>
        <v>0</v>
      </c>
      <c r="CD26" s="416">
        <f t="shared" si="39"/>
        <v>0</v>
      </c>
      <c r="CE26" s="417">
        <f t="shared" si="35"/>
        <v>0</v>
      </c>
      <c r="CF26" s="688"/>
      <c r="CG26" s="56"/>
      <c r="CH26" s="56"/>
      <c r="CI26" s="56"/>
      <c r="CJ26" s="56"/>
      <c r="CK26" s="56"/>
      <c r="CL26" s="56"/>
      <c r="CM26" s="56"/>
      <c r="CN26" s="56"/>
      <c r="CO26" s="56"/>
      <c r="DE26" s="29"/>
      <c r="DF26" s="29"/>
      <c r="DG26"/>
      <c r="DH26"/>
    </row>
    <row r="27" spans="5:112" hidden="1" x14ac:dyDescent="0.25">
      <c r="E27" s="672" t="s">
        <v>682</v>
      </c>
      <c r="F27" s="673"/>
      <c r="G27" s="673"/>
      <c r="H27" s="673"/>
      <c r="I27" s="673"/>
      <c r="J27" s="674"/>
      <c r="K27" s="375">
        <v>1</v>
      </c>
      <c r="L27" s="298">
        <v>2.5000000000000001E-2</v>
      </c>
      <c r="AD27" s="376">
        <f>+AA7</f>
        <v>0</v>
      </c>
      <c r="AE27" s="416">
        <f t="shared" si="36"/>
        <v>0</v>
      </c>
      <c r="AF27" s="417">
        <f t="shared" si="40"/>
        <v>0</v>
      </c>
      <c r="AT27" s="376">
        <f>+BH7</f>
        <v>0</v>
      </c>
      <c r="AU27" s="376">
        <f t="shared" si="32"/>
        <v>0</v>
      </c>
      <c r="AV27" s="416">
        <f t="shared" si="37"/>
        <v>0</v>
      </c>
      <c r="AW27" s="417">
        <f t="shared" si="33"/>
        <v>0</v>
      </c>
      <c r="AX27" s="686"/>
      <c r="BX27" s="29"/>
      <c r="BZ27"/>
      <c r="CA27" s="376">
        <f>+CO7</f>
        <v>0</v>
      </c>
      <c r="CB27" s="376">
        <f t="shared" si="34"/>
        <v>0</v>
      </c>
      <c r="CC27" s="376">
        <f t="shared" si="38"/>
        <v>0</v>
      </c>
      <c r="CD27" s="416">
        <f t="shared" si="39"/>
        <v>0</v>
      </c>
      <c r="CE27" s="417">
        <f t="shared" si="35"/>
        <v>0</v>
      </c>
      <c r="CF27" s="688"/>
      <c r="CG27" s="56"/>
      <c r="CH27" s="56"/>
      <c r="CI27" s="56"/>
      <c r="CJ27" s="56"/>
      <c r="CK27" s="56"/>
      <c r="CL27" s="56"/>
      <c r="CM27" s="56"/>
      <c r="CN27" s="56"/>
      <c r="CO27" s="56"/>
      <c r="DE27" s="29"/>
      <c r="DF27" s="29"/>
      <c r="DG27"/>
      <c r="DH27"/>
    </row>
    <row r="28" spans="5:112" hidden="1" x14ac:dyDescent="0.25">
      <c r="E28" s="672" t="s">
        <v>683</v>
      </c>
      <c r="F28" s="673"/>
      <c r="G28" s="673"/>
      <c r="H28" s="673"/>
      <c r="I28" s="673"/>
      <c r="J28" s="674"/>
      <c r="K28" s="375">
        <v>1</v>
      </c>
      <c r="L28" s="298">
        <v>2.5000000000000001E-2</v>
      </c>
      <c r="AD28" s="376">
        <f>+AB7</f>
        <v>0</v>
      </c>
      <c r="AE28" s="416">
        <f t="shared" si="36"/>
        <v>0</v>
      </c>
      <c r="AF28" s="417">
        <f t="shared" si="40"/>
        <v>0</v>
      </c>
      <c r="AT28" s="376">
        <f>+BI7</f>
        <v>0</v>
      </c>
      <c r="AU28" s="376">
        <f t="shared" si="32"/>
        <v>0</v>
      </c>
      <c r="AV28" s="416">
        <f t="shared" si="37"/>
        <v>0</v>
      </c>
      <c r="AW28" s="417">
        <f t="shared" si="33"/>
        <v>0</v>
      </c>
      <c r="AX28" s="686"/>
      <c r="BX28" s="29"/>
      <c r="BZ28"/>
      <c r="CA28" s="376">
        <f>+CP7</f>
        <v>0</v>
      </c>
      <c r="CB28" s="376">
        <f t="shared" si="34"/>
        <v>0</v>
      </c>
      <c r="CC28" s="376">
        <f t="shared" si="38"/>
        <v>0</v>
      </c>
      <c r="CD28" s="416">
        <f t="shared" si="39"/>
        <v>0</v>
      </c>
      <c r="CE28" s="417">
        <f t="shared" si="35"/>
        <v>0</v>
      </c>
      <c r="CF28" s="688"/>
      <c r="CG28" s="56"/>
      <c r="CH28" s="56"/>
      <c r="CI28" s="56"/>
      <c r="CJ28" s="56"/>
      <c r="CK28" s="56"/>
      <c r="CL28" s="56"/>
      <c r="CM28" s="56"/>
      <c r="CN28" s="56"/>
      <c r="CO28" s="56"/>
      <c r="DE28" s="29"/>
      <c r="DF28" s="29"/>
      <c r="DG28"/>
      <c r="DH28"/>
    </row>
    <row r="29" spans="5:112" hidden="1" x14ac:dyDescent="0.25">
      <c r="E29" s="682" t="s">
        <v>684</v>
      </c>
      <c r="F29" s="683"/>
      <c r="G29" s="683"/>
      <c r="H29" s="683"/>
      <c r="I29" s="683"/>
      <c r="J29" s="684"/>
      <c r="K29" s="375">
        <v>1</v>
      </c>
      <c r="L29" s="298">
        <v>2.5000000000000001E-2</v>
      </c>
      <c r="AD29" s="376">
        <f>+AC7</f>
        <v>0</v>
      </c>
      <c r="AE29" s="416">
        <f t="shared" si="36"/>
        <v>0</v>
      </c>
      <c r="AF29" s="417">
        <f t="shared" si="40"/>
        <v>0</v>
      </c>
      <c r="AT29" s="376">
        <f>+BJ7</f>
        <v>0</v>
      </c>
      <c r="AU29" s="376">
        <f t="shared" si="32"/>
        <v>0</v>
      </c>
      <c r="AV29" s="416">
        <f t="shared" si="37"/>
        <v>0</v>
      </c>
      <c r="AW29" s="417">
        <f t="shared" si="33"/>
        <v>0</v>
      </c>
      <c r="AX29" s="686"/>
      <c r="BX29" s="29"/>
      <c r="BZ29"/>
      <c r="CA29" s="376">
        <f>+CQ7</f>
        <v>0</v>
      </c>
      <c r="CB29" s="376">
        <f t="shared" si="34"/>
        <v>0</v>
      </c>
      <c r="CC29" s="376">
        <f t="shared" si="38"/>
        <v>0</v>
      </c>
      <c r="CD29" s="416">
        <f t="shared" si="39"/>
        <v>0</v>
      </c>
      <c r="CE29" s="417">
        <f t="shared" si="35"/>
        <v>0</v>
      </c>
      <c r="CF29" s="688"/>
      <c r="CG29" s="56"/>
      <c r="CH29" s="56"/>
      <c r="CI29" s="56"/>
      <c r="CJ29" s="56"/>
      <c r="CK29" s="56"/>
      <c r="CL29" s="56"/>
      <c r="CM29" s="56"/>
      <c r="CN29" s="56"/>
      <c r="CO29" s="56"/>
      <c r="DE29" s="29"/>
      <c r="DF29" s="29"/>
      <c r="DG29"/>
      <c r="DH29"/>
    </row>
    <row r="30" spans="5:112" x14ac:dyDescent="0.25">
      <c r="E30" s="672" t="s">
        <v>775</v>
      </c>
      <c r="F30" s="673"/>
      <c r="G30" s="673"/>
      <c r="H30" s="673"/>
      <c r="I30" s="673"/>
      <c r="J30" s="674"/>
      <c r="K30" s="375">
        <v>1</v>
      </c>
      <c r="L30" s="512">
        <v>2.69E-2</v>
      </c>
      <c r="AD30" s="376">
        <f>+AD7</f>
        <v>0</v>
      </c>
      <c r="AE30" s="416">
        <f t="shared" si="36"/>
        <v>0</v>
      </c>
      <c r="AF30" s="417">
        <f t="shared" si="40"/>
        <v>0</v>
      </c>
      <c r="AT30" s="376">
        <f>+BK7</f>
        <v>0</v>
      </c>
      <c r="AU30" s="376">
        <f t="shared" si="32"/>
        <v>0</v>
      </c>
      <c r="AV30" s="416">
        <f t="shared" si="37"/>
        <v>0</v>
      </c>
      <c r="AW30" s="417">
        <f t="shared" si="33"/>
        <v>0</v>
      </c>
      <c r="AX30" s="686"/>
      <c r="BX30" s="29"/>
      <c r="BZ30"/>
      <c r="CA30" s="376">
        <f>+CR7</f>
        <v>0</v>
      </c>
      <c r="CB30" s="376">
        <f t="shared" si="34"/>
        <v>0</v>
      </c>
      <c r="CC30" s="376">
        <f t="shared" si="38"/>
        <v>0</v>
      </c>
      <c r="CD30" s="416">
        <f t="shared" si="39"/>
        <v>0</v>
      </c>
      <c r="CE30" s="417">
        <f t="shared" si="35"/>
        <v>0</v>
      </c>
      <c r="CF30" s="688"/>
      <c r="CG30" s="56"/>
      <c r="CH30" s="56"/>
      <c r="CI30" s="56"/>
      <c r="CJ30" s="56"/>
      <c r="CK30" s="56"/>
      <c r="CL30" s="56"/>
      <c r="CM30" s="56"/>
      <c r="CN30" s="56"/>
      <c r="CO30" s="56"/>
      <c r="DE30" s="29"/>
      <c r="DF30" s="29"/>
      <c r="DG30"/>
      <c r="DH30"/>
    </row>
    <row r="31" spans="5:112" x14ac:dyDescent="0.25">
      <c r="E31" s="672" t="s">
        <v>776</v>
      </c>
      <c r="F31" s="673"/>
      <c r="G31" s="673"/>
      <c r="H31" s="673"/>
      <c r="I31" s="673"/>
      <c r="J31" s="674"/>
      <c r="K31" s="375">
        <v>1</v>
      </c>
      <c r="L31" s="512">
        <v>2.69E-2</v>
      </c>
      <c r="AD31" s="376">
        <f>+AE7</f>
        <v>0</v>
      </c>
      <c r="AE31" s="416">
        <f t="shared" si="36"/>
        <v>0</v>
      </c>
      <c r="AF31" s="417">
        <f t="shared" si="40"/>
        <v>0</v>
      </c>
      <c r="AT31" s="376">
        <f>+BL7</f>
        <v>0</v>
      </c>
      <c r="AU31" s="376">
        <f t="shared" si="32"/>
        <v>0</v>
      </c>
      <c r="AV31" s="416">
        <f t="shared" si="37"/>
        <v>0</v>
      </c>
      <c r="AW31" s="417">
        <f t="shared" si="33"/>
        <v>0</v>
      </c>
      <c r="AX31" s="686"/>
      <c r="BX31" s="29"/>
      <c r="BZ31"/>
      <c r="CA31" s="376">
        <f>+CS7</f>
        <v>0</v>
      </c>
      <c r="CB31" s="376">
        <f t="shared" si="34"/>
        <v>0</v>
      </c>
      <c r="CC31" s="376">
        <f t="shared" si="38"/>
        <v>0</v>
      </c>
      <c r="CD31" s="416">
        <f t="shared" si="39"/>
        <v>0</v>
      </c>
      <c r="CE31" s="417">
        <f t="shared" si="35"/>
        <v>0</v>
      </c>
      <c r="CF31" s="688"/>
      <c r="CG31" s="56"/>
      <c r="CH31" s="56"/>
      <c r="CI31" s="56"/>
      <c r="CJ31" s="56"/>
      <c r="CK31" s="56"/>
      <c r="CL31" s="56"/>
      <c r="CM31" s="56"/>
      <c r="CN31" s="56"/>
      <c r="CO31" s="56"/>
      <c r="DE31" s="29"/>
      <c r="DF31" s="29"/>
      <c r="DG31"/>
      <c r="DH31"/>
    </row>
    <row r="32" spans="5:112" x14ac:dyDescent="0.25">
      <c r="E32" s="672" t="s">
        <v>777</v>
      </c>
      <c r="F32" s="673"/>
      <c r="G32" s="673"/>
      <c r="H32" s="673"/>
      <c r="I32" s="673"/>
      <c r="J32" s="674"/>
      <c r="K32" s="375">
        <v>1</v>
      </c>
      <c r="L32" s="512">
        <v>2.69E-2</v>
      </c>
      <c r="AD32" s="376">
        <f>+AF7</f>
        <v>0</v>
      </c>
      <c r="AE32" s="416">
        <f t="shared" si="36"/>
        <v>0</v>
      </c>
      <c r="AF32" s="417">
        <f t="shared" si="40"/>
        <v>0</v>
      </c>
      <c r="AT32" s="376">
        <f>+BM7</f>
        <v>0</v>
      </c>
      <c r="AU32" s="376">
        <f t="shared" si="32"/>
        <v>0</v>
      </c>
      <c r="AV32" s="416">
        <f t="shared" si="37"/>
        <v>0</v>
      </c>
      <c r="AW32" s="417">
        <f t="shared" si="33"/>
        <v>0</v>
      </c>
      <c r="AX32" s="686"/>
      <c r="BX32" s="29"/>
      <c r="BZ32"/>
      <c r="CA32" s="376">
        <f>+CT7</f>
        <v>0</v>
      </c>
      <c r="CB32" s="376">
        <f t="shared" si="34"/>
        <v>0</v>
      </c>
      <c r="CC32" s="376">
        <f t="shared" si="38"/>
        <v>0</v>
      </c>
      <c r="CD32" s="416">
        <f t="shared" si="39"/>
        <v>0</v>
      </c>
      <c r="CE32" s="417">
        <f t="shared" si="35"/>
        <v>0</v>
      </c>
      <c r="CF32" s="688"/>
      <c r="CG32" s="56"/>
      <c r="CH32" s="56"/>
      <c r="CI32" s="56"/>
      <c r="CJ32" s="56"/>
      <c r="CK32" s="56"/>
      <c r="CL32" s="56"/>
      <c r="CM32" s="56"/>
      <c r="CN32" s="56"/>
      <c r="CO32" s="56"/>
      <c r="DE32" s="29"/>
      <c r="DF32" s="29"/>
      <c r="DG32"/>
      <c r="DH32"/>
    </row>
    <row r="33" spans="5:112" x14ac:dyDescent="0.25">
      <c r="E33" s="672" t="s">
        <v>778</v>
      </c>
      <c r="F33" s="673"/>
      <c r="G33" s="673"/>
      <c r="H33" s="673"/>
      <c r="I33" s="673"/>
      <c r="J33" s="674"/>
      <c r="K33" s="375">
        <v>1</v>
      </c>
      <c r="L33" s="512">
        <v>2.69E-2</v>
      </c>
      <c r="AD33" s="376">
        <f>+AG7</f>
        <v>0</v>
      </c>
      <c r="AE33" s="416">
        <f t="shared" si="36"/>
        <v>0</v>
      </c>
      <c r="AF33" s="417">
        <f t="shared" si="40"/>
        <v>0</v>
      </c>
      <c r="AT33" s="376">
        <f>+BN7</f>
        <v>0</v>
      </c>
      <c r="AU33" s="376">
        <f t="shared" si="32"/>
        <v>0</v>
      </c>
      <c r="AV33" s="416">
        <f t="shared" si="37"/>
        <v>0</v>
      </c>
      <c r="AW33" s="417">
        <f t="shared" si="33"/>
        <v>0</v>
      </c>
      <c r="AX33" s="686"/>
      <c r="BX33" s="29"/>
      <c r="BZ33"/>
      <c r="CA33" s="376">
        <f>+CU7</f>
        <v>0</v>
      </c>
      <c r="CB33" s="376">
        <f t="shared" si="34"/>
        <v>0</v>
      </c>
      <c r="CC33" s="376">
        <f t="shared" si="38"/>
        <v>0</v>
      </c>
      <c r="CD33" s="416">
        <f t="shared" si="39"/>
        <v>0</v>
      </c>
      <c r="CE33" s="417">
        <f t="shared" si="35"/>
        <v>0</v>
      </c>
      <c r="CF33" s="688"/>
      <c r="CG33" s="56"/>
      <c r="CH33" s="56"/>
      <c r="CI33" s="56"/>
      <c r="CJ33" s="56"/>
      <c r="CK33" s="56"/>
      <c r="CL33" s="56"/>
      <c r="CM33" s="56"/>
      <c r="CN33" s="56"/>
      <c r="CO33" s="56"/>
      <c r="DE33" s="29"/>
      <c r="DF33" s="29"/>
      <c r="DG33"/>
      <c r="DH33"/>
    </row>
    <row r="34" spans="5:112" x14ac:dyDescent="0.25">
      <c r="E34" s="672" t="s">
        <v>779</v>
      </c>
      <c r="F34" s="673"/>
      <c r="G34" s="673"/>
      <c r="H34" s="673"/>
      <c r="I34" s="673"/>
      <c r="J34" s="674"/>
      <c r="K34" s="375">
        <v>1</v>
      </c>
      <c r="L34" s="512">
        <v>2.69E-2</v>
      </c>
      <c r="AD34" s="376">
        <f>+AH7</f>
        <v>0</v>
      </c>
      <c r="AE34" s="416">
        <f t="shared" si="36"/>
        <v>0</v>
      </c>
      <c r="AF34" s="417">
        <f t="shared" si="40"/>
        <v>0</v>
      </c>
      <c r="AT34" s="376">
        <f>+BO7</f>
        <v>0</v>
      </c>
      <c r="AU34" s="376">
        <f t="shared" si="32"/>
        <v>0</v>
      </c>
      <c r="AV34" s="416">
        <f t="shared" si="37"/>
        <v>0</v>
      </c>
      <c r="AW34" s="417">
        <f t="shared" si="33"/>
        <v>0</v>
      </c>
      <c r="AX34" s="686"/>
      <c r="BX34" s="29"/>
      <c r="BZ34"/>
      <c r="CA34" s="376">
        <f>+CV7</f>
        <v>0</v>
      </c>
      <c r="CB34" s="376">
        <f t="shared" si="34"/>
        <v>0</v>
      </c>
      <c r="CC34" s="376">
        <f t="shared" si="38"/>
        <v>0</v>
      </c>
      <c r="CD34" s="416">
        <f t="shared" si="39"/>
        <v>0</v>
      </c>
      <c r="CE34" s="417">
        <f t="shared" si="35"/>
        <v>0</v>
      </c>
      <c r="CF34" s="688"/>
      <c r="CG34" s="56"/>
      <c r="CH34" s="56"/>
      <c r="CI34" s="56"/>
      <c r="CJ34" s="56"/>
      <c r="CK34" s="56"/>
      <c r="CL34" s="56"/>
      <c r="CM34" s="56"/>
      <c r="CN34" s="56"/>
      <c r="CO34" s="56"/>
      <c r="DE34" s="29"/>
      <c r="DF34" s="29"/>
      <c r="DG34"/>
      <c r="DH34"/>
    </row>
    <row r="35" spans="5:112" x14ac:dyDescent="0.25">
      <c r="E35" s="689" t="s">
        <v>780</v>
      </c>
      <c r="F35" s="690"/>
      <c r="G35" s="690"/>
      <c r="H35" s="690"/>
      <c r="I35" s="690"/>
      <c r="J35" s="691"/>
      <c r="K35" s="375">
        <v>1</v>
      </c>
      <c r="L35" s="512">
        <v>2.69E-2</v>
      </c>
      <c r="AD35" s="376">
        <f>+AI7</f>
        <v>0</v>
      </c>
      <c r="AE35" s="416">
        <f t="shared" si="36"/>
        <v>0</v>
      </c>
      <c r="AF35" s="417">
        <f t="shared" si="40"/>
        <v>0</v>
      </c>
      <c r="AT35" s="376">
        <f>+BP7</f>
        <v>0</v>
      </c>
      <c r="AU35" s="376">
        <f t="shared" si="32"/>
        <v>0</v>
      </c>
      <c r="AV35" s="416">
        <f t="shared" si="37"/>
        <v>0</v>
      </c>
      <c r="AW35" s="417">
        <f t="shared" si="33"/>
        <v>0</v>
      </c>
      <c r="AX35" s="686"/>
      <c r="BX35" s="29"/>
      <c r="BZ35"/>
      <c r="CA35" s="376">
        <f>+CW7</f>
        <v>0</v>
      </c>
      <c r="CB35" s="376">
        <f t="shared" si="34"/>
        <v>0</v>
      </c>
      <c r="CC35" s="376">
        <f t="shared" si="38"/>
        <v>0</v>
      </c>
      <c r="CD35" s="416">
        <f t="shared" si="39"/>
        <v>0</v>
      </c>
      <c r="CE35" s="417">
        <f t="shared" si="35"/>
        <v>0</v>
      </c>
      <c r="CF35" s="688"/>
      <c r="CG35" s="56"/>
      <c r="CH35" s="56"/>
      <c r="CI35" s="56"/>
      <c r="CJ35" s="56"/>
      <c r="CK35" s="56"/>
      <c r="CL35" s="56"/>
      <c r="CM35" s="56"/>
      <c r="CN35" s="56"/>
      <c r="CO35" s="56"/>
      <c r="DE35" s="29"/>
      <c r="DF35" s="29"/>
      <c r="DG35"/>
      <c r="DH35"/>
    </row>
    <row r="36" spans="5:112" x14ac:dyDescent="0.25">
      <c r="E36" s="672" t="s">
        <v>781</v>
      </c>
      <c r="F36" s="673"/>
      <c r="G36" s="673"/>
      <c r="H36" s="673"/>
      <c r="I36" s="673"/>
      <c r="J36" s="674"/>
      <c r="K36" s="375">
        <v>1</v>
      </c>
      <c r="L36" s="512">
        <v>2.69E-2</v>
      </c>
      <c r="AD36" s="376">
        <f>+AJ7</f>
        <v>0</v>
      </c>
      <c r="AE36" s="416">
        <f t="shared" si="36"/>
        <v>0</v>
      </c>
      <c r="AF36" s="417">
        <f t="shared" si="40"/>
        <v>0</v>
      </c>
      <c r="AT36" s="376">
        <f>+BQ7</f>
        <v>0</v>
      </c>
      <c r="AU36" s="376">
        <f t="shared" si="32"/>
        <v>0</v>
      </c>
      <c r="AV36" s="416">
        <f t="shared" si="37"/>
        <v>0</v>
      </c>
      <c r="AW36" s="417">
        <f t="shared" si="33"/>
        <v>0</v>
      </c>
      <c r="AX36" s="686"/>
      <c r="BX36" s="29"/>
      <c r="BZ36"/>
      <c r="CA36" s="376">
        <f>+CX7</f>
        <v>0</v>
      </c>
      <c r="CB36" s="376">
        <f t="shared" si="34"/>
        <v>0</v>
      </c>
      <c r="CC36" s="376">
        <f t="shared" si="38"/>
        <v>0</v>
      </c>
      <c r="CD36" s="416">
        <f t="shared" si="39"/>
        <v>0</v>
      </c>
      <c r="CE36" s="417">
        <f t="shared" si="35"/>
        <v>0</v>
      </c>
      <c r="CF36" s="688"/>
      <c r="CG36" s="56"/>
      <c r="CH36" s="56"/>
      <c r="CI36" s="56"/>
      <c r="CJ36" s="56"/>
      <c r="CK36" s="56"/>
      <c r="CL36" s="56"/>
      <c r="CM36" s="56"/>
      <c r="CN36" s="56"/>
      <c r="CO36" s="56"/>
      <c r="DE36" s="29"/>
      <c r="DF36" s="29"/>
      <c r="DG36"/>
      <c r="DH36"/>
    </row>
    <row r="37" spans="5:112" x14ac:dyDescent="0.25">
      <c r="E37" s="672" t="s">
        <v>782</v>
      </c>
      <c r="F37" s="673"/>
      <c r="G37" s="673"/>
      <c r="H37" s="673"/>
      <c r="I37" s="673"/>
      <c r="J37" s="674"/>
      <c r="K37" s="375">
        <v>1</v>
      </c>
      <c r="L37" s="512">
        <v>2.69E-2</v>
      </c>
      <c r="AD37" s="376">
        <f>+AK7</f>
        <v>0</v>
      </c>
      <c r="AE37" s="416">
        <f t="shared" si="36"/>
        <v>0</v>
      </c>
      <c r="AF37" s="417">
        <f t="shared" si="40"/>
        <v>0</v>
      </c>
      <c r="AT37" s="376">
        <f>+BR7</f>
        <v>0</v>
      </c>
      <c r="AU37" s="376">
        <f t="shared" si="32"/>
        <v>0</v>
      </c>
      <c r="AV37" s="416">
        <f t="shared" si="37"/>
        <v>0</v>
      </c>
      <c r="AW37" s="417">
        <f>+IF(AV37=100%,L37,(+AV37*L37))</f>
        <v>0</v>
      </c>
      <c r="AX37" s="686"/>
      <c r="BX37" s="29"/>
      <c r="BZ37"/>
      <c r="CA37" s="376">
        <f>+CY7</f>
        <v>0</v>
      </c>
      <c r="CB37" s="376">
        <f t="shared" si="34"/>
        <v>0</v>
      </c>
      <c r="CC37" s="376">
        <f t="shared" si="38"/>
        <v>0</v>
      </c>
      <c r="CD37" s="416">
        <f t="shared" si="39"/>
        <v>0</v>
      </c>
      <c r="CE37" s="417">
        <f t="shared" si="35"/>
        <v>0</v>
      </c>
      <c r="CF37" s="688"/>
      <c r="CG37" s="56"/>
      <c r="CH37" s="56"/>
      <c r="CI37" s="56"/>
      <c r="CJ37" s="56"/>
      <c r="CK37" s="56"/>
      <c r="CL37" s="56"/>
      <c r="CM37" s="56"/>
      <c r="CN37" s="56"/>
      <c r="CO37" s="56"/>
      <c r="DE37" s="29"/>
      <c r="DF37" s="29"/>
      <c r="DG37"/>
      <c r="DH37"/>
    </row>
    <row r="38" spans="5:112" x14ac:dyDescent="0.25">
      <c r="E38" s="672" t="s">
        <v>783</v>
      </c>
      <c r="F38" s="673"/>
      <c r="G38" s="673"/>
      <c r="H38" s="673"/>
      <c r="I38" s="673"/>
      <c r="J38" s="674"/>
      <c r="K38" s="375">
        <v>1</v>
      </c>
      <c r="L38" s="512">
        <v>2.69E-2</v>
      </c>
      <c r="AD38" s="376">
        <f>+AL7</f>
        <v>0</v>
      </c>
      <c r="AE38" s="416">
        <f t="shared" si="36"/>
        <v>0</v>
      </c>
      <c r="AF38" s="417">
        <f t="shared" si="40"/>
        <v>0</v>
      </c>
      <c r="AT38" s="376">
        <f>+BS7</f>
        <v>0</v>
      </c>
      <c r="AU38" s="376">
        <f t="shared" si="32"/>
        <v>0</v>
      </c>
      <c r="AV38" s="416">
        <f t="shared" si="37"/>
        <v>0</v>
      </c>
      <c r="AW38" s="417">
        <f t="shared" si="33"/>
        <v>0</v>
      </c>
      <c r="AX38" s="686"/>
      <c r="BX38" s="29"/>
      <c r="BZ38"/>
      <c r="CA38" s="376">
        <f>+CZ7</f>
        <v>0</v>
      </c>
      <c r="CB38" s="376">
        <f t="shared" si="34"/>
        <v>0</v>
      </c>
      <c r="CC38" s="376">
        <f t="shared" si="38"/>
        <v>0</v>
      </c>
      <c r="CD38" s="416">
        <f t="shared" si="39"/>
        <v>0</v>
      </c>
      <c r="CE38" s="417">
        <f t="shared" si="35"/>
        <v>0</v>
      </c>
      <c r="CF38" s="688"/>
      <c r="CG38" s="56"/>
      <c r="CH38" s="56"/>
      <c r="CI38" s="56"/>
      <c r="CJ38" s="56"/>
      <c r="CK38" s="56"/>
      <c r="CL38" s="56"/>
      <c r="CM38" s="56"/>
      <c r="CN38" s="56"/>
      <c r="CO38" s="56"/>
      <c r="DE38" s="29"/>
      <c r="DF38" s="29"/>
      <c r="DG38"/>
      <c r="DH38"/>
    </row>
    <row r="39" spans="5:112" x14ac:dyDescent="0.25">
      <c r="E39" s="672" t="s">
        <v>784</v>
      </c>
      <c r="F39" s="673"/>
      <c r="G39" s="673"/>
      <c r="H39" s="673"/>
      <c r="I39" s="673"/>
      <c r="J39" s="674"/>
      <c r="K39" s="375">
        <v>1</v>
      </c>
      <c r="L39" s="512">
        <v>2.69E-2</v>
      </c>
      <c r="AD39" s="376">
        <f>+AM7</f>
        <v>0</v>
      </c>
      <c r="AE39" s="416">
        <f t="shared" si="36"/>
        <v>0</v>
      </c>
      <c r="AF39" s="417">
        <f t="shared" si="40"/>
        <v>0</v>
      </c>
      <c r="AT39" s="376">
        <f>+BT7</f>
        <v>0</v>
      </c>
      <c r="AU39" s="376">
        <f t="shared" si="32"/>
        <v>0</v>
      </c>
      <c r="AV39" s="416">
        <f t="shared" si="37"/>
        <v>0</v>
      </c>
      <c r="AW39" s="417">
        <f t="shared" si="33"/>
        <v>0</v>
      </c>
      <c r="AX39" s="686"/>
      <c r="BX39" s="29"/>
      <c r="BZ39"/>
      <c r="CA39" s="376">
        <f>+DA7</f>
        <v>0</v>
      </c>
      <c r="CB39" s="376">
        <f t="shared" si="34"/>
        <v>0</v>
      </c>
      <c r="CC39" s="376">
        <f t="shared" si="38"/>
        <v>0</v>
      </c>
      <c r="CD39" s="416">
        <f t="shared" si="39"/>
        <v>0</v>
      </c>
      <c r="CE39" s="417">
        <f t="shared" si="35"/>
        <v>0</v>
      </c>
      <c r="CF39" s="688"/>
      <c r="CG39" s="56"/>
      <c r="CH39" s="56"/>
      <c r="CI39" s="56"/>
      <c r="CJ39" s="56"/>
      <c r="CK39" s="56"/>
      <c r="CL39" s="56"/>
      <c r="CM39" s="56"/>
      <c r="CN39" s="56"/>
      <c r="CO39" s="56"/>
      <c r="DE39" s="29"/>
      <c r="DF39" s="29"/>
      <c r="DG39"/>
      <c r="DH39"/>
    </row>
    <row r="40" spans="5:112" x14ac:dyDescent="0.25">
      <c r="E40" s="672" t="s">
        <v>785</v>
      </c>
      <c r="F40" s="673"/>
      <c r="G40" s="673"/>
      <c r="H40" s="673"/>
      <c r="I40" s="673"/>
      <c r="J40" s="674"/>
      <c r="K40" s="375">
        <v>1</v>
      </c>
      <c r="L40" s="512">
        <v>2.69E-2</v>
      </c>
      <c r="AD40" s="376">
        <f>+AN7</f>
        <v>0</v>
      </c>
      <c r="AE40" s="416">
        <f t="shared" si="36"/>
        <v>0</v>
      </c>
      <c r="AF40" s="417">
        <f t="shared" si="40"/>
        <v>0</v>
      </c>
      <c r="AT40" s="376">
        <f>+BU7</f>
        <v>0</v>
      </c>
      <c r="AU40" s="376">
        <f t="shared" si="32"/>
        <v>0</v>
      </c>
      <c r="AV40" s="416">
        <f t="shared" si="37"/>
        <v>0</v>
      </c>
      <c r="AW40" s="417">
        <f t="shared" si="33"/>
        <v>0</v>
      </c>
      <c r="AX40" s="686"/>
      <c r="BX40" s="29"/>
      <c r="BZ40"/>
      <c r="CA40" s="376">
        <f>+DB7</f>
        <v>0</v>
      </c>
      <c r="CB40" s="376">
        <f t="shared" si="34"/>
        <v>0</v>
      </c>
      <c r="CC40" s="376">
        <f t="shared" si="38"/>
        <v>0</v>
      </c>
      <c r="CD40" s="416">
        <f t="shared" si="39"/>
        <v>0</v>
      </c>
      <c r="CE40" s="417">
        <f t="shared" si="35"/>
        <v>0</v>
      </c>
      <c r="CF40" s="688"/>
      <c r="CG40" s="56"/>
      <c r="CH40" s="56"/>
      <c r="CI40" s="56"/>
      <c r="CJ40" s="56"/>
      <c r="CK40" s="56"/>
      <c r="CL40" s="56"/>
      <c r="CM40" s="56"/>
      <c r="CN40" s="56"/>
      <c r="CO40" s="56"/>
      <c r="DE40" s="29"/>
      <c r="DF40" s="29"/>
      <c r="DG40"/>
      <c r="DH40"/>
    </row>
    <row r="41" spans="5:112" x14ac:dyDescent="0.25">
      <c r="E41" s="672" t="s">
        <v>786</v>
      </c>
      <c r="F41" s="673"/>
      <c r="G41" s="673"/>
      <c r="H41" s="673"/>
      <c r="I41" s="673"/>
      <c r="J41" s="674"/>
      <c r="K41" s="375">
        <v>1</v>
      </c>
      <c r="L41" s="512">
        <v>2.69E-2</v>
      </c>
      <c r="AD41" s="376">
        <f>+AO7</f>
        <v>0</v>
      </c>
      <c r="AE41" s="416">
        <f t="shared" si="36"/>
        <v>0</v>
      </c>
      <c r="AF41" s="417">
        <f t="shared" si="40"/>
        <v>0</v>
      </c>
      <c r="AT41" s="376">
        <f>+BV7</f>
        <v>0</v>
      </c>
      <c r="AU41" s="376">
        <f t="shared" si="32"/>
        <v>0</v>
      </c>
      <c r="AV41" s="416">
        <f t="shared" si="37"/>
        <v>0</v>
      </c>
      <c r="AW41" s="417">
        <f t="shared" si="33"/>
        <v>0</v>
      </c>
      <c r="AX41" s="686"/>
      <c r="BX41" s="29"/>
      <c r="BZ41"/>
      <c r="CA41" s="376">
        <f>+DC7</f>
        <v>0</v>
      </c>
      <c r="CB41" s="376">
        <f t="shared" si="34"/>
        <v>0</v>
      </c>
      <c r="CC41" s="376">
        <f t="shared" si="38"/>
        <v>0</v>
      </c>
      <c r="CD41" s="416">
        <f t="shared" si="39"/>
        <v>0</v>
      </c>
      <c r="CE41" s="417">
        <f t="shared" si="35"/>
        <v>0</v>
      </c>
      <c r="CF41" s="688"/>
      <c r="CG41" s="56"/>
      <c r="CH41" s="56"/>
      <c r="CI41" s="56"/>
      <c r="CJ41" s="56"/>
      <c r="CK41" s="56"/>
      <c r="CL41" s="56"/>
      <c r="CM41" s="56"/>
      <c r="CN41" s="56"/>
      <c r="CO41" s="56"/>
      <c r="DE41" s="29"/>
      <c r="DF41" s="29"/>
      <c r="DG41"/>
      <c r="DH41"/>
    </row>
    <row r="42" spans="5:112" x14ac:dyDescent="0.25">
      <c r="E42" s="672" t="s">
        <v>787</v>
      </c>
      <c r="F42" s="673"/>
      <c r="G42" s="673"/>
      <c r="H42" s="673"/>
      <c r="I42" s="673"/>
      <c r="J42" s="674"/>
      <c r="K42" s="375">
        <v>1</v>
      </c>
      <c r="L42" s="512">
        <v>2.69E-2</v>
      </c>
      <c r="AD42" s="376">
        <f>+T29</f>
        <v>0</v>
      </c>
      <c r="AE42" s="416">
        <f t="shared" si="36"/>
        <v>0</v>
      </c>
      <c r="AF42" s="417">
        <f t="shared" si="40"/>
        <v>0</v>
      </c>
      <c r="AT42" s="376">
        <f>+BW7</f>
        <v>0</v>
      </c>
      <c r="AU42" s="376">
        <f t="shared" si="32"/>
        <v>0</v>
      </c>
      <c r="AV42" s="416">
        <f t="shared" si="37"/>
        <v>0</v>
      </c>
      <c r="AW42" s="417">
        <f t="shared" si="33"/>
        <v>0</v>
      </c>
      <c r="AX42" s="687"/>
      <c r="BX42" s="29"/>
      <c r="BZ42"/>
      <c r="CA42" s="376">
        <f>+DD7</f>
        <v>0</v>
      </c>
      <c r="CB42" s="376">
        <f t="shared" si="34"/>
        <v>0</v>
      </c>
      <c r="CC42" s="376">
        <f t="shared" si="38"/>
        <v>0</v>
      </c>
      <c r="CD42" s="416">
        <f t="shared" si="39"/>
        <v>0</v>
      </c>
      <c r="CE42" s="417">
        <f t="shared" si="35"/>
        <v>0</v>
      </c>
      <c r="CF42" s="688"/>
      <c r="CG42" s="56"/>
      <c r="CH42" s="56"/>
      <c r="CI42" s="56"/>
      <c r="CJ42" s="56"/>
      <c r="CK42" s="56"/>
      <c r="CL42" s="56"/>
      <c r="CM42" s="56"/>
      <c r="CN42" s="56"/>
      <c r="CO42" s="56"/>
      <c r="DE42" s="29"/>
      <c r="DF42" s="29"/>
      <c r="DG42"/>
      <c r="DH42"/>
    </row>
    <row r="43" spans="5:112" ht="15.75" x14ac:dyDescent="0.25">
      <c r="E43" s="672"/>
      <c r="F43" s="673"/>
      <c r="G43" s="673"/>
      <c r="H43" s="673"/>
      <c r="I43" s="673"/>
      <c r="J43" s="674"/>
      <c r="L43" s="408">
        <f>SUM(L30:L42)</f>
        <v>0.34969999999999996</v>
      </c>
      <c r="AF43" s="418">
        <f>SUM(AF13:AF42)</f>
        <v>0</v>
      </c>
      <c r="AT43" s="29"/>
      <c r="AW43" s="418">
        <f>SUM(AW13:AW29)</f>
        <v>0</v>
      </c>
      <c r="BX43" s="29"/>
      <c r="BZ43"/>
      <c r="CA43" s="29"/>
      <c r="CD43" s="416" t="str">
        <f t="shared" ref="CD43" si="41">IFERROR(IF(AVERAGE(CA43:CC43)&gt;=0.4,1,(AVERAGE(CA43:CC43)*100%)/0.4),"-")</f>
        <v>-</v>
      </c>
      <c r="CE43" s="418">
        <f>SUM(CE13:CE29)</f>
        <v>0</v>
      </c>
      <c r="CG43" s="56"/>
      <c r="CH43" s="56"/>
      <c r="CI43" s="56"/>
      <c r="CJ43" s="56"/>
      <c r="CK43" s="56"/>
      <c r="CL43" s="56"/>
      <c r="CM43" s="56"/>
      <c r="CN43" s="56"/>
      <c r="CO43" s="56"/>
      <c r="DE43" s="29"/>
      <c r="DF43" s="29"/>
      <c r="DG43"/>
      <c r="DH43"/>
    </row>
    <row r="44" spans="5:112" x14ac:dyDescent="0.25">
      <c r="F44" s="678"/>
      <c r="G44" s="678"/>
      <c r="H44" s="678"/>
      <c r="I44" s="678"/>
      <c r="J44" s="678"/>
      <c r="K44" s="678"/>
      <c r="P44" s="38"/>
      <c r="AU44" s="56"/>
      <c r="BX44" s="29"/>
      <c r="BZ44"/>
      <c r="CA44" s="29"/>
      <c r="CB44" s="56"/>
      <c r="CC44" s="56"/>
      <c r="CD44" s="56"/>
      <c r="CE44" s="56"/>
      <c r="CF44" s="56"/>
      <c r="CG44" s="56"/>
      <c r="CH44" s="56"/>
      <c r="CI44" s="56"/>
      <c r="CJ44" s="56"/>
      <c r="CK44" s="56"/>
      <c r="CL44" s="56"/>
      <c r="CM44" s="56"/>
      <c r="CN44" s="56"/>
      <c r="DE44" s="29"/>
      <c r="DG44"/>
    </row>
    <row r="45" spans="5:112" x14ac:dyDescent="0.25">
      <c r="F45" s="678"/>
      <c r="G45" s="678"/>
      <c r="H45" s="678"/>
      <c r="I45" s="678"/>
      <c r="J45" s="678"/>
      <c r="K45" s="678"/>
    </row>
    <row r="46" spans="5:112" x14ac:dyDescent="0.25">
      <c r="F46" s="678"/>
      <c r="G46" s="678"/>
      <c r="H46" s="678"/>
      <c r="I46" s="678"/>
      <c r="J46" s="678"/>
      <c r="K46" s="678"/>
    </row>
  </sheetData>
  <mergeCells count="72">
    <mergeCell ref="AX13:AX42"/>
    <mergeCell ref="CF13:CF42"/>
    <mergeCell ref="E39:J39"/>
    <mergeCell ref="E40:J40"/>
    <mergeCell ref="E43:J43"/>
    <mergeCell ref="E41:J41"/>
    <mergeCell ref="E42:J42"/>
    <mergeCell ref="E34:J34"/>
    <mergeCell ref="E35:J35"/>
    <mergeCell ref="E36:J36"/>
    <mergeCell ref="E37:J37"/>
    <mergeCell ref="E38:J38"/>
    <mergeCell ref="E30:J30"/>
    <mergeCell ref="E31:J31"/>
    <mergeCell ref="E32:J32"/>
    <mergeCell ref="E33:J33"/>
    <mergeCell ref="F44:K44"/>
    <mergeCell ref="F45:K45"/>
    <mergeCell ref="F46:K46"/>
    <mergeCell ref="E12:J12"/>
    <mergeCell ref="E13:J13"/>
    <mergeCell ref="E14:J14"/>
    <mergeCell ref="E15:J15"/>
    <mergeCell ref="E16:J16"/>
    <mergeCell ref="E26:J26"/>
    <mergeCell ref="E27:J27"/>
    <mergeCell ref="E28:J28"/>
    <mergeCell ref="E29:J29"/>
    <mergeCell ref="E17:J17"/>
    <mergeCell ref="E18:J18"/>
    <mergeCell ref="E24:J24"/>
    <mergeCell ref="E25:J25"/>
    <mergeCell ref="A1:B1"/>
    <mergeCell ref="C1:DM1"/>
    <mergeCell ref="A4:D4"/>
    <mergeCell ref="A5:A6"/>
    <mergeCell ref="B5:B6"/>
    <mergeCell ref="C5:C6"/>
    <mergeCell ref="D5:D6"/>
    <mergeCell ref="A2:B3"/>
    <mergeCell ref="C2:DM3"/>
    <mergeCell ref="AQ5:AQ6"/>
    <mergeCell ref="DN1:DP2"/>
    <mergeCell ref="DG5:DG6"/>
    <mergeCell ref="K5:K6"/>
    <mergeCell ref="DM5:DP5"/>
    <mergeCell ref="BY5:BY6"/>
    <mergeCell ref="DN3:DP3"/>
    <mergeCell ref="DE5:DE6"/>
    <mergeCell ref="DF5:DF6"/>
    <mergeCell ref="AR5:AR6"/>
    <mergeCell ref="BX5:BX6"/>
    <mergeCell ref="DL8:DL9"/>
    <mergeCell ref="L5:L6"/>
    <mergeCell ref="AS5:AS6"/>
    <mergeCell ref="BZ5:BZ6"/>
    <mergeCell ref="DH5:DL5"/>
    <mergeCell ref="A8:L8"/>
    <mergeCell ref="AS8:AS9"/>
    <mergeCell ref="BZ8:BZ9"/>
    <mergeCell ref="DG8:DG9"/>
    <mergeCell ref="J5:J6"/>
    <mergeCell ref="E5:E6"/>
    <mergeCell ref="F5:F6"/>
    <mergeCell ref="G5:G6"/>
    <mergeCell ref="H5:H6"/>
    <mergeCell ref="I5:I6"/>
    <mergeCell ref="E19:J19"/>
    <mergeCell ref="E20:J20"/>
    <mergeCell ref="E21:J21"/>
    <mergeCell ref="E22:J22"/>
    <mergeCell ref="E23:J23"/>
  </mergeCells>
  <conditionalFormatting sqref="DL8 DH7:DL7">
    <cfRule type="cellIs" dxfId="59" priority="1" operator="lessThan">
      <formula>0.6</formula>
    </cfRule>
    <cfRule type="cellIs" dxfId="58" priority="2" operator="between">
      <formula>60%</formula>
      <formula>79%</formula>
    </cfRule>
    <cfRule type="cellIs" dxfId="57" priority="3" operator="between">
      <formula>80%</formula>
      <formula>100%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X27"/>
  <sheetViews>
    <sheetView zoomScale="80" zoomScaleNormal="80" workbookViewId="0">
      <selection activeCell="V4" sqref="V1:AP1048576"/>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7" max="7" width="21.42578125" customWidth="1"/>
    <col min="8" max="8" width="25.28515625" style="145" customWidth="1"/>
    <col min="9" max="9" width="17.7109375" style="145" customWidth="1"/>
    <col min="10" max="10" width="13.28515625" style="158" customWidth="1"/>
    <col min="11" max="11" width="14.42578125" style="251" customWidth="1"/>
    <col min="12" max="12" width="13" customWidth="1"/>
    <col min="13" max="19" width="19.42578125" customWidth="1"/>
    <col min="20" max="20" width="28.85546875" customWidth="1"/>
    <col min="21" max="21" width="21.85546875" customWidth="1"/>
    <col min="22" max="29" width="19.42578125" customWidth="1"/>
    <col min="30" max="30" width="28.85546875" customWidth="1"/>
    <col min="31" max="31" width="21.85546875" customWidth="1"/>
    <col min="32" max="38" width="19.42578125" customWidth="1"/>
    <col min="39" max="39" width="28.85546875" customWidth="1"/>
    <col min="40" max="40" width="47.28515625" customWidth="1"/>
    <col min="41" max="41" width="19.42578125" customWidth="1"/>
    <col min="42" max="46" width="17.7109375" customWidth="1"/>
    <col min="47" max="50" width="26.5703125" customWidth="1"/>
  </cols>
  <sheetData>
    <row r="1" spans="1:50"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612"/>
      <c r="AW1" s="612"/>
      <c r="AX1" s="612"/>
    </row>
    <row r="2" spans="1:50"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612"/>
      <c r="AW2" s="612"/>
      <c r="AX2" s="612"/>
    </row>
    <row r="3" spans="1:50"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613" t="s">
        <v>772</v>
      </c>
      <c r="AW3" s="613"/>
      <c r="AX3" s="613"/>
    </row>
    <row r="4" spans="1:50" ht="15.75" thickBot="1" x14ac:dyDescent="0.3">
      <c r="A4" s="627" t="s">
        <v>193</v>
      </c>
      <c r="B4" s="627"/>
      <c r="C4" s="627"/>
      <c r="D4" s="627"/>
      <c r="E4" s="29"/>
      <c r="F4" s="38"/>
      <c r="G4" s="29"/>
      <c r="H4" s="114"/>
      <c r="I4" s="114"/>
      <c r="J4" s="114"/>
      <c r="K4" s="114"/>
      <c r="L4" s="29"/>
      <c r="M4" s="56"/>
      <c r="N4" s="29"/>
      <c r="O4" s="29"/>
      <c r="P4" s="29"/>
      <c r="Q4" s="29"/>
      <c r="R4" s="29"/>
      <c r="S4" s="29"/>
      <c r="T4" s="29"/>
      <c r="U4" s="29"/>
      <c r="V4" s="29"/>
      <c r="W4" s="56"/>
      <c r="X4" s="29"/>
      <c r="Y4" s="29"/>
      <c r="Z4" s="29"/>
      <c r="AA4" s="29"/>
      <c r="AB4" s="29"/>
      <c r="AC4" s="29"/>
      <c r="AD4" s="29"/>
      <c r="AE4" s="29"/>
      <c r="AF4" s="29"/>
      <c r="AG4" s="56"/>
      <c r="AH4" s="29"/>
      <c r="AI4" s="29"/>
      <c r="AJ4" s="29"/>
      <c r="AK4" s="29"/>
      <c r="AL4" s="29"/>
      <c r="AM4" s="29"/>
      <c r="AN4" s="29"/>
      <c r="AO4" s="29"/>
      <c r="AP4" s="29"/>
      <c r="AQ4" s="29"/>
      <c r="AR4" s="29"/>
      <c r="AS4" s="29"/>
      <c r="AT4" s="29"/>
      <c r="AU4" s="29"/>
      <c r="AV4" s="29"/>
      <c r="AW4" s="29"/>
      <c r="AX4" s="29"/>
    </row>
    <row r="5" spans="1:50" ht="57" customHeight="1" x14ac:dyDescent="0.25">
      <c r="A5" s="606" t="s">
        <v>1</v>
      </c>
      <c r="B5" s="594" t="s">
        <v>3</v>
      </c>
      <c r="C5" s="594" t="s">
        <v>194</v>
      </c>
      <c r="D5" s="594" t="s">
        <v>195</v>
      </c>
      <c r="E5" s="594" t="s">
        <v>196</v>
      </c>
      <c r="F5" s="642" t="s">
        <v>742</v>
      </c>
      <c r="G5" s="594" t="s">
        <v>228</v>
      </c>
      <c r="H5" s="594" t="s">
        <v>227</v>
      </c>
      <c r="I5" s="594" t="s">
        <v>8</v>
      </c>
      <c r="J5" s="594" t="s">
        <v>495</v>
      </c>
      <c r="K5" s="594" t="s">
        <v>519</v>
      </c>
      <c r="L5" s="640" t="s">
        <v>9</v>
      </c>
      <c r="M5" s="199" t="s">
        <v>318</v>
      </c>
      <c r="N5" s="216" t="s">
        <v>470</v>
      </c>
      <c r="O5" s="216" t="s">
        <v>471</v>
      </c>
      <c r="P5" s="216" t="s">
        <v>472</v>
      </c>
      <c r="Q5" s="216" t="s">
        <v>473</v>
      </c>
      <c r="R5" s="287" t="s">
        <v>568</v>
      </c>
      <c r="S5" s="216" t="s">
        <v>483</v>
      </c>
      <c r="T5" s="676" t="s">
        <v>421</v>
      </c>
      <c r="U5" s="610" t="s">
        <v>423</v>
      </c>
      <c r="V5" s="608" t="s">
        <v>488</v>
      </c>
      <c r="W5" s="199" t="s">
        <v>318</v>
      </c>
      <c r="X5" s="216" t="s">
        <v>470</v>
      </c>
      <c r="Y5" s="216" t="s">
        <v>471</v>
      </c>
      <c r="Z5" s="216" t="s">
        <v>472</v>
      </c>
      <c r="AA5" s="216" t="s">
        <v>473</v>
      </c>
      <c r="AB5" s="407" t="s">
        <v>568</v>
      </c>
      <c r="AC5" s="407" t="s">
        <v>483</v>
      </c>
      <c r="AD5" s="676" t="s">
        <v>421</v>
      </c>
      <c r="AE5" s="610" t="s">
        <v>423</v>
      </c>
      <c r="AF5" s="608" t="s">
        <v>491</v>
      </c>
      <c r="AG5" s="199" t="s">
        <v>318</v>
      </c>
      <c r="AH5" s="216" t="s">
        <v>470</v>
      </c>
      <c r="AI5" s="216" t="s">
        <v>471</v>
      </c>
      <c r="AJ5" s="216" t="s">
        <v>472</v>
      </c>
      <c r="AK5" s="216" t="s">
        <v>473</v>
      </c>
      <c r="AL5" s="216" t="s">
        <v>483</v>
      </c>
      <c r="AM5" s="676" t="s">
        <v>421</v>
      </c>
      <c r="AN5" s="610" t="s">
        <v>423</v>
      </c>
      <c r="AO5" s="608" t="s">
        <v>501</v>
      </c>
      <c r="AP5" s="652" t="s">
        <v>11</v>
      </c>
      <c r="AQ5" s="653"/>
      <c r="AR5" s="653"/>
      <c r="AS5" s="653"/>
      <c r="AT5" s="654"/>
      <c r="AU5" s="624" t="s">
        <v>557</v>
      </c>
      <c r="AV5" s="625"/>
      <c r="AW5" s="625"/>
      <c r="AX5" s="626"/>
    </row>
    <row r="6" spans="1:50" ht="57" customHeight="1" x14ac:dyDescent="0.25">
      <c r="A6" s="607"/>
      <c r="B6" s="535"/>
      <c r="C6" s="535"/>
      <c r="D6" s="535"/>
      <c r="E6" s="535"/>
      <c r="F6" s="643"/>
      <c r="G6" s="535"/>
      <c r="H6" s="535"/>
      <c r="I6" s="535"/>
      <c r="J6" s="535"/>
      <c r="K6" s="535"/>
      <c r="L6" s="641"/>
      <c r="M6" s="163" t="s">
        <v>299</v>
      </c>
      <c r="N6" s="4" t="s">
        <v>299</v>
      </c>
      <c r="O6" s="4" t="s">
        <v>299</v>
      </c>
      <c r="P6" s="4" t="s">
        <v>299</v>
      </c>
      <c r="Q6" s="4" t="s">
        <v>299</v>
      </c>
      <c r="R6" s="4" t="s">
        <v>299</v>
      </c>
      <c r="S6" s="4" t="s">
        <v>299</v>
      </c>
      <c r="T6" s="677"/>
      <c r="U6" s="611"/>
      <c r="V6" s="609"/>
      <c r="W6" s="163" t="s">
        <v>288</v>
      </c>
      <c r="X6" s="4" t="s">
        <v>288</v>
      </c>
      <c r="Y6" s="4" t="s">
        <v>288</v>
      </c>
      <c r="Z6" s="4" t="s">
        <v>288</v>
      </c>
      <c r="AA6" s="4" t="s">
        <v>288</v>
      </c>
      <c r="AB6" s="4" t="s">
        <v>288</v>
      </c>
      <c r="AC6" s="4" t="s">
        <v>288</v>
      </c>
      <c r="AD6" s="677"/>
      <c r="AE6" s="611"/>
      <c r="AF6" s="609"/>
      <c r="AG6" s="163" t="s">
        <v>313</v>
      </c>
      <c r="AH6" s="4" t="s">
        <v>313</v>
      </c>
      <c r="AI6" s="4" t="s">
        <v>313</v>
      </c>
      <c r="AJ6" s="4" t="s">
        <v>313</v>
      </c>
      <c r="AK6" s="4" t="s">
        <v>313</v>
      </c>
      <c r="AL6" s="4" t="s">
        <v>313</v>
      </c>
      <c r="AM6" s="677"/>
      <c r="AN6" s="611"/>
      <c r="AO6" s="609"/>
      <c r="AP6" s="176" t="s">
        <v>198</v>
      </c>
      <c r="AQ6" s="5" t="s">
        <v>199</v>
      </c>
      <c r="AR6" s="5" t="s">
        <v>200</v>
      </c>
      <c r="AS6" s="5" t="s">
        <v>201</v>
      </c>
      <c r="AT6" s="177" t="s">
        <v>20</v>
      </c>
      <c r="AU6" s="181" t="s">
        <v>202</v>
      </c>
      <c r="AV6" s="33" t="s">
        <v>203</v>
      </c>
      <c r="AW6" s="33" t="s">
        <v>204</v>
      </c>
      <c r="AX6" s="182" t="s">
        <v>205</v>
      </c>
    </row>
    <row r="7" spans="1:50" ht="59.25" customHeight="1" x14ac:dyDescent="0.25">
      <c r="A7" s="697" t="s">
        <v>76</v>
      </c>
      <c r="B7" s="696" t="s">
        <v>712</v>
      </c>
      <c r="C7" s="696" t="s">
        <v>713</v>
      </c>
      <c r="D7" s="696" t="s">
        <v>78</v>
      </c>
      <c r="E7" s="696" t="s">
        <v>714</v>
      </c>
      <c r="F7" s="692">
        <f>+'PLAN DESARROLLO'!E12</f>
        <v>0.9</v>
      </c>
      <c r="G7" s="76" t="s">
        <v>435</v>
      </c>
      <c r="H7" s="83" t="s">
        <v>436</v>
      </c>
      <c r="I7" s="74" t="s">
        <v>652</v>
      </c>
      <c r="J7" s="74" t="s">
        <v>496</v>
      </c>
      <c r="K7" s="261" t="s">
        <v>826</v>
      </c>
      <c r="L7" s="695"/>
      <c r="M7" s="164"/>
      <c r="N7" s="57"/>
      <c r="O7" s="57"/>
      <c r="P7" s="57"/>
      <c r="Q7" s="57"/>
      <c r="R7" s="57"/>
      <c r="S7" s="432"/>
      <c r="T7" s="57"/>
      <c r="U7" s="57"/>
      <c r="V7" s="165" t="e">
        <f>+AVERAGE(M7:S7)</f>
        <v>#DIV/0!</v>
      </c>
      <c r="W7" s="164"/>
      <c r="X7" s="57"/>
      <c r="Y7" s="57"/>
      <c r="Z7" s="57"/>
      <c r="AA7" s="57"/>
      <c r="AB7" s="57"/>
      <c r="AC7" s="57"/>
      <c r="AD7" s="57"/>
      <c r="AE7" s="57"/>
      <c r="AF7" s="165" t="e">
        <f>+AVERAGE(W7:AC7)</f>
        <v>#DIV/0!</v>
      </c>
      <c r="AG7" s="164"/>
      <c r="AH7" s="57"/>
      <c r="AI7" s="57"/>
      <c r="AJ7" s="57"/>
      <c r="AK7" s="57"/>
      <c r="AL7" s="57"/>
      <c r="AM7" s="57"/>
      <c r="AN7" s="57"/>
      <c r="AO7" s="165" t="e">
        <f>AVERAGE(AG7:AL7)</f>
        <v>#DIV/0!</v>
      </c>
      <c r="AP7" s="178" t="s">
        <v>226</v>
      </c>
      <c r="AQ7" s="26" t="str">
        <f>IFERROR(IF(V7&gt;0.05,1,(V7*100%)/0.05),"-")</f>
        <v>-</v>
      </c>
      <c r="AR7" s="26" t="str">
        <f>IFERROR(IF(AF7&gt;0.05,1,(AF7*100%)/0.05),"-")</f>
        <v>-</v>
      </c>
      <c r="AS7" s="26" t="str">
        <f>IFERROR(IF(AO7&gt;0.05,1,(AO7*100%)/0.05),"-")</f>
        <v>-</v>
      </c>
      <c r="AT7" s="179" t="str">
        <f t="shared" ref="AT7:AT21" si="0">IFERROR(AVERAGE(AP7:AS7),"-")</f>
        <v>-</v>
      </c>
      <c r="AU7" s="183"/>
      <c r="AV7" s="35"/>
      <c r="AW7" s="36"/>
      <c r="AX7" s="184"/>
    </row>
    <row r="8" spans="1:50" ht="109.5" customHeight="1" x14ac:dyDescent="0.25">
      <c r="A8" s="697"/>
      <c r="B8" s="696"/>
      <c r="C8" s="696"/>
      <c r="D8" s="696"/>
      <c r="E8" s="696"/>
      <c r="F8" s="693"/>
      <c r="G8" s="155" t="s">
        <v>828</v>
      </c>
      <c r="H8" s="154" t="s">
        <v>829</v>
      </c>
      <c r="I8" s="74" t="s">
        <v>825</v>
      </c>
      <c r="J8" s="74" t="s">
        <v>496</v>
      </c>
      <c r="K8" s="261" t="s">
        <v>827</v>
      </c>
      <c r="L8" s="695"/>
      <c r="M8" s="164"/>
      <c r="N8" s="57"/>
      <c r="O8" s="57"/>
      <c r="P8" s="57"/>
      <c r="Q8" s="57"/>
      <c r="R8" s="57"/>
      <c r="S8" s="57"/>
      <c r="T8" s="57"/>
      <c r="U8" s="7"/>
      <c r="V8" s="165" t="e">
        <f t="shared" ref="V8:V24" si="1">+AVERAGE(M8:S8)</f>
        <v>#DIV/0!</v>
      </c>
      <c r="W8" s="164"/>
      <c r="X8" s="57"/>
      <c r="Y8" s="57"/>
      <c r="Z8" s="57"/>
      <c r="AA8" s="57"/>
      <c r="AB8" s="57"/>
      <c r="AC8" s="57"/>
      <c r="AD8" s="7"/>
      <c r="AE8" s="7"/>
      <c r="AF8" s="165" t="e">
        <f t="shared" ref="AF8:AF24" si="2">+AVERAGE(W8:AC8)</f>
        <v>#DIV/0!</v>
      </c>
      <c r="AG8" s="164"/>
      <c r="AH8" s="57"/>
      <c r="AI8" s="57"/>
      <c r="AJ8" s="57"/>
      <c r="AK8" s="57"/>
      <c r="AL8" s="57"/>
      <c r="AM8" s="7"/>
      <c r="AN8" s="57"/>
      <c r="AO8" s="165" t="e">
        <f t="shared" ref="AO8:AO24" si="3">AVERAGE(AG8:AL8)</f>
        <v>#DIV/0!</v>
      </c>
      <c r="AP8" s="178" t="s">
        <v>226</v>
      </c>
      <c r="AQ8" s="26" t="str">
        <f>IFERROR(IF(V8&gt;=0.03,1,(V8*100%)/0.03),"-")</f>
        <v>-</v>
      </c>
      <c r="AR8" s="26" t="str">
        <f>IFERROR(IF(AF8&gt;=0.03,1,(AF8*100%)/0.03),"-")</f>
        <v>-</v>
      </c>
      <c r="AS8" s="26" t="str">
        <f>IFERROR(IF(AO8&gt;=0.03,1,(AO8*100%)/0.03),"-")</f>
        <v>-</v>
      </c>
      <c r="AT8" s="179" t="str">
        <f t="shared" si="0"/>
        <v>-</v>
      </c>
      <c r="AU8" s="183"/>
      <c r="AV8" s="35"/>
      <c r="AW8" s="36"/>
      <c r="AX8" s="184"/>
    </row>
    <row r="9" spans="1:50" ht="72.75" customHeight="1" x14ac:dyDescent="0.25">
      <c r="A9" s="697"/>
      <c r="B9" s="696"/>
      <c r="C9" s="696"/>
      <c r="D9" s="696"/>
      <c r="E9" s="696"/>
      <c r="F9" s="693"/>
      <c r="G9" s="155" t="s">
        <v>437</v>
      </c>
      <c r="H9" s="154" t="s">
        <v>438</v>
      </c>
      <c r="I9" s="74" t="s">
        <v>653</v>
      </c>
      <c r="J9" s="74" t="s">
        <v>496</v>
      </c>
      <c r="K9" s="261" t="s">
        <v>820</v>
      </c>
      <c r="L9" s="695"/>
      <c r="M9" s="164"/>
      <c r="N9" s="57"/>
      <c r="O9" s="57"/>
      <c r="P9" s="57"/>
      <c r="Q9" s="57"/>
      <c r="R9" s="57"/>
      <c r="S9" s="57"/>
      <c r="T9" s="55"/>
      <c r="U9" s="7"/>
      <c r="V9" s="165" t="e">
        <f t="shared" si="1"/>
        <v>#DIV/0!</v>
      </c>
      <c r="W9" s="164"/>
      <c r="X9" s="57"/>
      <c r="Y9" s="57"/>
      <c r="Z9" s="57"/>
      <c r="AA9" s="57"/>
      <c r="AB9" s="57"/>
      <c r="AC9" s="57"/>
      <c r="AD9" s="55"/>
      <c r="AE9" s="7"/>
      <c r="AF9" s="165" t="e">
        <f t="shared" si="2"/>
        <v>#DIV/0!</v>
      </c>
      <c r="AG9" s="164"/>
      <c r="AH9" s="57"/>
      <c r="AI9" s="57"/>
      <c r="AJ9" s="57"/>
      <c r="AK9" s="57"/>
      <c r="AL9" s="57"/>
      <c r="AM9" s="55"/>
      <c r="AN9" s="57"/>
      <c r="AO9" s="165" t="e">
        <f t="shared" si="3"/>
        <v>#DIV/0!</v>
      </c>
      <c r="AP9" s="178" t="s">
        <v>226</v>
      </c>
      <c r="AQ9" s="26" t="str">
        <f>IFERROR(IF(V9&gt;0.08,1,(V9*100%)/0.08),"-")</f>
        <v>-</v>
      </c>
      <c r="AR9" s="26" t="str">
        <f>IFERROR(IF(AF9&gt;0.08,1,(AF9*100%)/0.08),"-")</f>
        <v>-</v>
      </c>
      <c r="AS9" s="26" t="str">
        <f>IFERROR(IF(AO9&gt;0.08,1,(AO9*100%)/0.08),"-")</f>
        <v>-</v>
      </c>
      <c r="AT9" s="179" t="str">
        <f t="shared" si="0"/>
        <v>-</v>
      </c>
      <c r="AU9" s="183"/>
      <c r="AV9" s="35"/>
      <c r="AW9" s="36"/>
      <c r="AX9" s="184"/>
    </row>
    <row r="10" spans="1:50" ht="71.25" customHeight="1" x14ac:dyDescent="0.25">
      <c r="A10" s="697"/>
      <c r="B10" s="696"/>
      <c r="C10" s="696"/>
      <c r="D10" s="696"/>
      <c r="E10" s="696"/>
      <c r="F10" s="693"/>
      <c r="G10" s="342" t="s">
        <v>439</v>
      </c>
      <c r="H10" s="154" t="s">
        <v>440</v>
      </c>
      <c r="I10" s="74" t="s">
        <v>132</v>
      </c>
      <c r="J10" s="74" t="s">
        <v>496</v>
      </c>
      <c r="K10" s="261" t="s">
        <v>819</v>
      </c>
      <c r="L10" s="695"/>
      <c r="M10" s="164"/>
      <c r="N10" s="57"/>
      <c r="O10" s="57"/>
      <c r="P10" s="57"/>
      <c r="Q10" s="57"/>
      <c r="R10" s="57"/>
      <c r="S10" s="57"/>
      <c r="T10" s="55"/>
      <c r="U10" s="55"/>
      <c r="V10" s="165" t="e">
        <f t="shared" si="1"/>
        <v>#DIV/0!</v>
      </c>
      <c r="W10" s="164"/>
      <c r="X10" s="57"/>
      <c r="Y10" s="57"/>
      <c r="Z10" s="57"/>
      <c r="AA10" s="57"/>
      <c r="AB10" s="57"/>
      <c r="AC10" s="57"/>
      <c r="AD10" s="55"/>
      <c r="AE10" s="55"/>
      <c r="AF10" s="165" t="e">
        <f t="shared" si="2"/>
        <v>#DIV/0!</v>
      </c>
      <c r="AG10" s="164"/>
      <c r="AH10" s="57"/>
      <c r="AI10" s="57"/>
      <c r="AJ10" s="57"/>
      <c r="AK10" s="57"/>
      <c r="AL10" s="57"/>
      <c r="AM10" s="55"/>
      <c r="AN10" s="55"/>
      <c r="AO10" s="165" t="e">
        <f t="shared" si="3"/>
        <v>#DIV/0!</v>
      </c>
      <c r="AP10" s="178" t="s">
        <v>226</v>
      </c>
      <c r="AQ10" s="26" t="str">
        <f>IFERROR(IF(V10&gt;=0.8,1,(V10*100%)/0.8),"-")</f>
        <v>-</v>
      </c>
      <c r="AR10" s="26" t="str">
        <f>IFERROR(IF(AF10&gt;=0.8,1,(AF10*100%)/0.8),"-")</f>
        <v>-</v>
      </c>
      <c r="AS10" s="26" t="str">
        <f>IFERROR(IF(AO10&gt;=0.8,1,(AO10*100%)/0.8),"-")</f>
        <v>-</v>
      </c>
      <c r="AT10" s="179" t="str">
        <f t="shared" si="0"/>
        <v>-</v>
      </c>
      <c r="AU10" s="183"/>
      <c r="AV10" s="35"/>
      <c r="AW10" s="36"/>
      <c r="AX10" s="184"/>
    </row>
    <row r="11" spans="1:50" ht="72.75" customHeight="1" x14ac:dyDescent="0.25">
      <c r="A11" s="697"/>
      <c r="B11" s="696"/>
      <c r="C11" s="696"/>
      <c r="D11" s="696"/>
      <c r="E11" s="696"/>
      <c r="F11" s="693"/>
      <c r="G11" s="155" t="s">
        <v>441</v>
      </c>
      <c r="H11" s="83" t="s">
        <v>442</v>
      </c>
      <c r="I11" s="74" t="s">
        <v>141</v>
      </c>
      <c r="J11" s="74" t="s">
        <v>496</v>
      </c>
      <c r="K11" s="260"/>
      <c r="L11" s="695"/>
      <c r="M11" s="164"/>
      <c r="N11" s="57"/>
      <c r="O11" s="57"/>
      <c r="P11" s="57"/>
      <c r="Q11" s="57"/>
      <c r="R11" s="57"/>
      <c r="S11" s="57"/>
      <c r="T11" s="55"/>
      <c r="U11" s="55"/>
      <c r="V11" s="165" t="e">
        <f t="shared" si="1"/>
        <v>#DIV/0!</v>
      </c>
      <c r="W11" s="164"/>
      <c r="X11" s="57"/>
      <c r="Y11" s="57"/>
      <c r="Z11" s="57"/>
      <c r="AA11" s="57"/>
      <c r="AB11" s="57"/>
      <c r="AC11" s="57"/>
      <c r="AD11" s="55"/>
      <c r="AE11" s="55"/>
      <c r="AF11" s="165" t="e">
        <f t="shared" si="2"/>
        <v>#DIV/0!</v>
      </c>
      <c r="AG11" s="164"/>
      <c r="AH11" s="57"/>
      <c r="AI11" s="57"/>
      <c r="AJ11" s="57"/>
      <c r="AK11" s="57"/>
      <c r="AL11" s="57"/>
      <c r="AM11" s="55"/>
      <c r="AN11" s="55"/>
      <c r="AO11" s="165" t="e">
        <f t="shared" si="3"/>
        <v>#DIV/0!</v>
      </c>
      <c r="AP11" s="178" t="s">
        <v>226</v>
      </c>
      <c r="AQ11" s="26" t="str">
        <f>IFERROR(IF(V11&gt;=0.85,1,(V11*100%)/0.85),"-")</f>
        <v>-</v>
      </c>
      <c r="AR11" s="26" t="str">
        <f>IFERROR(IF(AF11&gt;=0.85,1,(AF11*100%)/0.85),"-")</f>
        <v>-</v>
      </c>
      <c r="AS11" s="26" t="str">
        <f>IFERROR(IF(AO11&gt;=0.85,1,(AO11*100%)/0.85),"-")</f>
        <v>-</v>
      </c>
      <c r="AT11" s="179" t="str">
        <f t="shared" si="0"/>
        <v>-</v>
      </c>
      <c r="AU11" s="183"/>
      <c r="AV11" s="35"/>
      <c r="AW11" s="36"/>
      <c r="AX11" s="184"/>
    </row>
    <row r="12" spans="1:50" ht="75" customHeight="1" x14ac:dyDescent="0.25">
      <c r="A12" s="697"/>
      <c r="B12" s="696"/>
      <c r="C12" s="696"/>
      <c r="D12" s="696"/>
      <c r="E12" s="696"/>
      <c r="F12" s="693"/>
      <c r="G12" s="76" t="s">
        <v>443</v>
      </c>
      <c r="H12" s="83" t="s">
        <v>444</v>
      </c>
      <c r="I12" s="146" t="s">
        <v>445</v>
      </c>
      <c r="J12" s="74" t="s">
        <v>496</v>
      </c>
      <c r="K12" s="261"/>
      <c r="L12" s="695"/>
      <c r="M12" s="164"/>
      <c r="N12" s="57"/>
      <c r="O12" s="57"/>
      <c r="P12" s="57"/>
      <c r="Q12" s="57"/>
      <c r="R12" s="57"/>
      <c r="S12" s="57"/>
      <c r="T12" s="59"/>
      <c r="U12" s="59"/>
      <c r="V12" s="165" t="e">
        <f t="shared" si="1"/>
        <v>#DIV/0!</v>
      </c>
      <c r="W12" s="164"/>
      <c r="X12" s="57"/>
      <c r="Y12" s="57"/>
      <c r="Z12" s="57"/>
      <c r="AA12" s="57"/>
      <c r="AB12" s="57"/>
      <c r="AC12" s="57"/>
      <c r="AD12" s="59"/>
      <c r="AE12" s="59"/>
      <c r="AF12" s="165" t="e">
        <f t="shared" si="2"/>
        <v>#DIV/0!</v>
      </c>
      <c r="AG12" s="164"/>
      <c r="AH12" s="57"/>
      <c r="AI12" s="57"/>
      <c r="AJ12" s="57"/>
      <c r="AK12" s="57"/>
      <c r="AL12" s="57"/>
      <c r="AM12" s="59"/>
      <c r="AN12" s="55"/>
      <c r="AO12" s="165" t="e">
        <f t="shared" si="3"/>
        <v>#DIV/0!</v>
      </c>
      <c r="AP12" s="178" t="s">
        <v>226</v>
      </c>
      <c r="AQ12" s="26" t="s">
        <v>428</v>
      </c>
      <c r="AR12" s="26" t="s">
        <v>428</v>
      </c>
      <c r="AS12" s="26" t="s">
        <v>428</v>
      </c>
      <c r="AT12" s="179" t="str">
        <f t="shared" si="0"/>
        <v>-</v>
      </c>
      <c r="AU12" s="183"/>
      <c r="AV12" s="35"/>
      <c r="AW12" s="36"/>
      <c r="AX12" s="184"/>
    </row>
    <row r="13" spans="1:50" ht="72" customHeight="1" x14ac:dyDescent="0.25">
      <c r="A13" s="697"/>
      <c r="B13" s="696"/>
      <c r="C13" s="696"/>
      <c r="D13" s="696"/>
      <c r="E13" s="696"/>
      <c r="F13" s="693"/>
      <c r="G13" s="76" t="s">
        <v>446</v>
      </c>
      <c r="H13" s="83" t="s">
        <v>447</v>
      </c>
      <c r="I13" s="146" t="s">
        <v>450</v>
      </c>
      <c r="J13" s="74" t="s">
        <v>496</v>
      </c>
      <c r="K13" s="261" t="s">
        <v>812</v>
      </c>
      <c r="L13" s="695"/>
      <c r="M13" s="164"/>
      <c r="N13" s="57"/>
      <c r="O13" s="57"/>
      <c r="P13" s="57"/>
      <c r="Q13" s="57"/>
      <c r="R13" s="57"/>
      <c r="S13" s="57"/>
      <c r="T13" s="59"/>
      <c r="U13" s="59"/>
      <c r="V13" s="165" t="e">
        <f t="shared" si="1"/>
        <v>#DIV/0!</v>
      </c>
      <c r="W13" s="164"/>
      <c r="X13" s="57"/>
      <c r="Y13" s="57"/>
      <c r="Z13" s="57"/>
      <c r="AA13" s="57"/>
      <c r="AB13" s="57"/>
      <c r="AC13" s="57"/>
      <c r="AD13" s="59"/>
      <c r="AE13" s="59"/>
      <c r="AF13" s="165" t="e">
        <f t="shared" si="2"/>
        <v>#DIV/0!</v>
      </c>
      <c r="AG13" s="164"/>
      <c r="AH13" s="57"/>
      <c r="AI13" s="57"/>
      <c r="AJ13" s="57"/>
      <c r="AK13" s="57"/>
      <c r="AL13" s="57"/>
      <c r="AM13" s="59"/>
      <c r="AN13" s="55"/>
      <c r="AO13" s="165" t="e">
        <f t="shared" si="3"/>
        <v>#DIV/0!</v>
      </c>
      <c r="AP13" s="178" t="s">
        <v>226</v>
      </c>
      <c r="AQ13" s="26" t="s">
        <v>428</v>
      </c>
      <c r="AR13" s="26" t="s">
        <v>428</v>
      </c>
      <c r="AS13" s="26" t="s">
        <v>428</v>
      </c>
      <c r="AT13" s="179" t="str">
        <f t="shared" si="0"/>
        <v>-</v>
      </c>
      <c r="AU13" s="183"/>
      <c r="AV13" s="35"/>
      <c r="AW13" s="36"/>
      <c r="AX13" s="184"/>
    </row>
    <row r="14" spans="1:50" ht="58.5" customHeight="1" x14ac:dyDescent="0.25">
      <c r="A14" s="697"/>
      <c r="B14" s="696"/>
      <c r="C14" s="696"/>
      <c r="D14" s="696"/>
      <c r="E14" s="696"/>
      <c r="F14" s="693"/>
      <c r="G14" s="76" t="s">
        <v>448</v>
      </c>
      <c r="H14" s="83" t="s">
        <v>449</v>
      </c>
      <c r="I14" s="146" t="s">
        <v>451</v>
      </c>
      <c r="J14" s="74" t="s">
        <v>496</v>
      </c>
      <c r="K14" s="261" t="s">
        <v>811</v>
      </c>
      <c r="L14" s="695"/>
      <c r="M14" s="164"/>
      <c r="N14" s="57"/>
      <c r="O14" s="57"/>
      <c r="P14" s="57"/>
      <c r="Q14" s="57"/>
      <c r="R14" s="57"/>
      <c r="S14" s="57"/>
      <c r="T14" s="59"/>
      <c r="U14" s="59"/>
      <c r="V14" s="165" t="e">
        <f t="shared" si="1"/>
        <v>#DIV/0!</v>
      </c>
      <c r="W14" s="164"/>
      <c r="X14" s="57"/>
      <c r="Y14" s="57"/>
      <c r="Z14" s="57"/>
      <c r="AA14" s="57"/>
      <c r="AB14" s="57"/>
      <c r="AC14" s="57"/>
      <c r="AD14" s="59"/>
      <c r="AE14" s="59"/>
      <c r="AF14" s="165" t="e">
        <f t="shared" si="2"/>
        <v>#DIV/0!</v>
      </c>
      <c r="AG14" s="164"/>
      <c r="AH14" s="57"/>
      <c r="AI14" s="57"/>
      <c r="AJ14" s="57"/>
      <c r="AK14" s="57"/>
      <c r="AL14" s="57"/>
      <c r="AM14" s="59"/>
      <c r="AN14" s="55"/>
      <c r="AO14" s="165" t="e">
        <f t="shared" si="3"/>
        <v>#DIV/0!</v>
      </c>
      <c r="AP14" s="178" t="s">
        <v>226</v>
      </c>
      <c r="AQ14" s="26" t="s">
        <v>428</v>
      </c>
      <c r="AR14" s="26" t="s">
        <v>428</v>
      </c>
      <c r="AS14" s="26" t="s">
        <v>428</v>
      </c>
      <c r="AT14" s="179" t="str">
        <f t="shared" si="0"/>
        <v>-</v>
      </c>
      <c r="AU14" s="183"/>
      <c r="AV14" s="35"/>
      <c r="AW14" s="36"/>
      <c r="AX14" s="184"/>
    </row>
    <row r="15" spans="1:50" ht="63" customHeight="1" x14ac:dyDescent="0.25">
      <c r="A15" s="697"/>
      <c r="B15" s="696"/>
      <c r="C15" s="696"/>
      <c r="D15" s="696"/>
      <c r="E15" s="696"/>
      <c r="F15" s="693"/>
      <c r="G15" s="76" t="s">
        <v>452</v>
      </c>
      <c r="H15" s="83" t="s">
        <v>453</v>
      </c>
      <c r="I15" s="74" t="s">
        <v>454</v>
      </c>
      <c r="J15" s="74" t="s">
        <v>496</v>
      </c>
      <c r="K15" s="261" t="s">
        <v>813</v>
      </c>
      <c r="L15" s="695"/>
      <c r="M15" s="435"/>
      <c r="N15" s="57"/>
      <c r="O15" s="57"/>
      <c r="P15" s="57"/>
      <c r="Q15" s="57"/>
      <c r="R15" s="57"/>
      <c r="S15" s="57"/>
      <c r="T15" s="59"/>
      <c r="U15" s="59"/>
      <c r="V15" s="165" t="e">
        <f t="shared" si="1"/>
        <v>#DIV/0!</v>
      </c>
      <c r="W15" s="164"/>
      <c r="X15" s="57"/>
      <c r="Y15" s="57"/>
      <c r="Z15" s="57"/>
      <c r="AA15" s="57"/>
      <c r="AB15" s="57"/>
      <c r="AC15" s="57"/>
      <c r="AD15" s="59"/>
      <c r="AE15" s="59"/>
      <c r="AF15" s="165" t="e">
        <f t="shared" si="2"/>
        <v>#DIV/0!</v>
      </c>
      <c r="AG15" s="433"/>
      <c r="AH15" s="57"/>
      <c r="AI15" s="57"/>
      <c r="AJ15" s="57"/>
      <c r="AK15" s="57"/>
      <c r="AL15" s="57"/>
      <c r="AM15" s="59"/>
      <c r="AN15" s="55"/>
      <c r="AO15" s="165" t="e">
        <f t="shared" si="3"/>
        <v>#DIV/0!</v>
      </c>
      <c r="AP15" s="178" t="s">
        <v>226</v>
      </c>
      <c r="AQ15" s="26" t="str">
        <f>IFERROR(IF(V15&gt;0.01,1,(V15*100%)/0.01),"-")</f>
        <v>-</v>
      </c>
      <c r="AR15" s="26" t="str">
        <f>IFERROR(IF(AF15&gt;0.01,1,(AF15*100%)/0.01),"-")</f>
        <v>-</v>
      </c>
      <c r="AS15" s="26" t="str">
        <f>IFERROR(IF(AO15&gt;1,1,(AO15*100%)/1),"-")</f>
        <v>-</v>
      </c>
      <c r="AT15" s="179" t="str">
        <f t="shared" si="0"/>
        <v>-</v>
      </c>
      <c r="AU15" s="183"/>
      <c r="AV15" s="35"/>
      <c r="AW15" s="36"/>
      <c r="AX15" s="184"/>
    </row>
    <row r="16" spans="1:50" ht="54" customHeight="1" x14ac:dyDescent="0.25">
      <c r="A16" s="697"/>
      <c r="B16" s="696"/>
      <c r="C16" s="696"/>
      <c r="D16" s="696"/>
      <c r="E16" s="696"/>
      <c r="F16" s="693"/>
      <c r="G16" s="76" t="s">
        <v>455</v>
      </c>
      <c r="H16" s="83" t="s">
        <v>456</v>
      </c>
      <c r="I16" s="74" t="s">
        <v>454</v>
      </c>
      <c r="J16" s="74" t="s">
        <v>496</v>
      </c>
      <c r="K16" s="261" t="s">
        <v>823</v>
      </c>
      <c r="L16" s="695"/>
      <c r="M16" s="164"/>
      <c r="N16" s="57"/>
      <c r="O16" s="57"/>
      <c r="P16" s="262"/>
      <c r="Q16" s="57"/>
      <c r="R16" s="57"/>
      <c r="S16" s="57"/>
      <c r="T16" s="59"/>
      <c r="U16" s="59"/>
      <c r="V16" s="165" t="e">
        <f t="shared" si="1"/>
        <v>#DIV/0!</v>
      </c>
      <c r="W16" s="164"/>
      <c r="X16" s="57"/>
      <c r="Y16" s="57"/>
      <c r="Z16" s="57"/>
      <c r="AA16" s="57"/>
      <c r="AB16" s="57"/>
      <c r="AC16" s="57"/>
      <c r="AD16" s="59"/>
      <c r="AE16" s="59"/>
      <c r="AF16" s="165" t="e">
        <f t="shared" si="2"/>
        <v>#DIV/0!</v>
      </c>
      <c r="AG16" s="164"/>
      <c r="AH16" s="57"/>
      <c r="AI16" s="57"/>
      <c r="AJ16" s="57"/>
      <c r="AK16" s="57"/>
      <c r="AL16" s="57"/>
      <c r="AM16" s="59"/>
      <c r="AN16" s="55"/>
      <c r="AO16" s="165" t="e">
        <f t="shared" si="3"/>
        <v>#DIV/0!</v>
      </c>
      <c r="AP16" s="178" t="s">
        <v>226</v>
      </c>
      <c r="AQ16" s="26" t="str">
        <f>IFERROR(IF(V16&gt;1,1,(V16*100%)/1),"-")</f>
        <v>-</v>
      </c>
      <c r="AR16" s="26" t="str">
        <f>IFERROR(IF(AF16&gt;1,1,(AF16*100%)/1),"-")</f>
        <v>-</v>
      </c>
      <c r="AS16" s="26" t="str">
        <f>IFERROR(IF(AO16&gt;1,1,(AO16*100%)/1),"-")</f>
        <v>-</v>
      </c>
      <c r="AT16" s="179" t="str">
        <f t="shared" si="0"/>
        <v>-</v>
      </c>
      <c r="AU16" s="183"/>
      <c r="AV16" s="35"/>
      <c r="AW16" s="36"/>
      <c r="AX16" s="184"/>
    </row>
    <row r="17" spans="1:50" ht="82.5" customHeight="1" x14ac:dyDescent="0.25">
      <c r="A17" s="697"/>
      <c r="B17" s="696"/>
      <c r="C17" s="696"/>
      <c r="D17" s="696"/>
      <c r="E17" s="696"/>
      <c r="F17" s="693"/>
      <c r="G17" s="155" t="s">
        <v>457</v>
      </c>
      <c r="H17" s="154" t="s">
        <v>458</v>
      </c>
      <c r="I17" s="146" t="s">
        <v>685</v>
      </c>
      <c r="J17" s="74" t="s">
        <v>496</v>
      </c>
      <c r="K17" s="261" t="s">
        <v>816</v>
      </c>
      <c r="L17" s="695"/>
      <c r="M17" s="164"/>
      <c r="N17" s="57"/>
      <c r="O17" s="57"/>
      <c r="P17" s="57"/>
      <c r="Q17" s="57"/>
      <c r="R17" s="57"/>
      <c r="S17" s="57"/>
      <c r="T17" s="59"/>
      <c r="U17" s="59"/>
      <c r="V17" s="165" t="e">
        <f t="shared" si="1"/>
        <v>#DIV/0!</v>
      </c>
      <c r="W17" s="164"/>
      <c r="X17" s="57"/>
      <c r="Y17" s="57"/>
      <c r="Z17" s="57"/>
      <c r="AA17" s="57"/>
      <c r="AB17" s="57"/>
      <c r="AC17" s="57"/>
      <c r="AD17" s="59"/>
      <c r="AE17" s="59"/>
      <c r="AF17" s="165" t="e">
        <f t="shared" si="2"/>
        <v>#DIV/0!</v>
      </c>
      <c r="AG17" s="164"/>
      <c r="AH17" s="57"/>
      <c r="AI17" s="57"/>
      <c r="AJ17" s="57"/>
      <c r="AK17" s="57"/>
      <c r="AL17" s="57"/>
      <c r="AM17" s="59"/>
      <c r="AN17" s="55"/>
      <c r="AO17" s="165" t="e">
        <f t="shared" si="3"/>
        <v>#DIV/0!</v>
      </c>
      <c r="AP17" s="178" t="s">
        <v>226</v>
      </c>
      <c r="AQ17" s="26" t="str">
        <f>IFERROR(IF(V17&gt;1,1,(V17*100%)/1),"-")</f>
        <v>-</v>
      </c>
      <c r="AR17" s="26" t="str">
        <f>IFERROR(IF(AF17&gt;1,1,(AF17*100%)/1),"-")</f>
        <v>-</v>
      </c>
      <c r="AS17" s="26" t="str">
        <f>IFERROR(IF(AO17&gt;1,1,(AO17*100%)/1),"-")</f>
        <v>-</v>
      </c>
      <c r="AT17" s="179" t="str">
        <f t="shared" si="0"/>
        <v>-</v>
      </c>
      <c r="AU17" s="183"/>
      <c r="AV17" s="35"/>
      <c r="AW17" s="36"/>
      <c r="AX17" s="184"/>
    </row>
    <row r="18" spans="1:50" ht="87.75" customHeight="1" x14ac:dyDescent="0.25">
      <c r="A18" s="697"/>
      <c r="B18" s="696"/>
      <c r="C18" s="696"/>
      <c r="D18" s="696"/>
      <c r="E18" s="696"/>
      <c r="F18" s="693"/>
      <c r="G18" s="76" t="s">
        <v>459</v>
      </c>
      <c r="H18" s="83" t="s">
        <v>560</v>
      </c>
      <c r="I18" s="74" t="s">
        <v>655</v>
      </c>
      <c r="J18" s="74" t="s">
        <v>496</v>
      </c>
      <c r="K18" s="261" t="s">
        <v>817</v>
      </c>
      <c r="L18" s="695"/>
      <c r="M18" s="164"/>
      <c r="N18" s="57"/>
      <c r="O18" s="57"/>
      <c r="P18" s="57"/>
      <c r="Q18" s="57"/>
      <c r="R18" s="57"/>
      <c r="S18" s="57"/>
      <c r="T18" s="59"/>
      <c r="U18" s="59"/>
      <c r="V18" s="165" t="e">
        <f t="shared" si="1"/>
        <v>#DIV/0!</v>
      </c>
      <c r="W18" s="164"/>
      <c r="X18" s="57"/>
      <c r="Y18" s="57"/>
      <c r="Z18" s="57"/>
      <c r="AA18" s="57"/>
      <c r="AB18" s="57"/>
      <c r="AC18" s="57"/>
      <c r="AD18" s="59"/>
      <c r="AE18" s="59"/>
      <c r="AF18" s="165" t="e">
        <f t="shared" si="2"/>
        <v>#DIV/0!</v>
      </c>
      <c r="AG18" s="164"/>
      <c r="AH18" s="57"/>
      <c r="AI18" s="57"/>
      <c r="AJ18" s="57"/>
      <c r="AK18" s="57"/>
      <c r="AL18" s="57"/>
      <c r="AM18" s="59"/>
      <c r="AN18" s="55"/>
      <c r="AO18" s="165" t="e">
        <f t="shared" si="3"/>
        <v>#DIV/0!</v>
      </c>
      <c r="AP18" s="178" t="s">
        <v>226</v>
      </c>
      <c r="AQ18" s="26" t="str">
        <f>IFERROR(IF(V18&gt;=0.3,0.3/(V18*100%),1),"-")</f>
        <v>-</v>
      </c>
      <c r="AR18" s="26" t="str">
        <f>IFERROR(IF(AF18&gt;=0.3,0.3/(AF18*100%),1),"-")</f>
        <v>-</v>
      </c>
      <c r="AS18" s="26" t="str">
        <f>IFERROR(IF(AO18&gt;=0.3,0.3/(AO18*100%),1),"-")</f>
        <v>-</v>
      </c>
      <c r="AT18" s="179" t="str">
        <f t="shared" si="0"/>
        <v>-</v>
      </c>
      <c r="AU18" s="183"/>
      <c r="AV18" s="35"/>
      <c r="AW18" s="36"/>
      <c r="AX18" s="184"/>
    </row>
    <row r="19" spans="1:50" ht="57" customHeight="1" x14ac:dyDescent="0.25">
      <c r="A19" s="697"/>
      <c r="B19" s="696"/>
      <c r="C19" s="696"/>
      <c r="D19" s="696"/>
      <c r="E19" s="696"/>
      <c r="F19" s="693"/>
      <c r="G19" s="76" t="s">
        <v>460</v>
      </c>
      <c r="H19" s="83" t="s">
        <v>461</v>
      </c>
      <c r="I19" s="74" t="s">
        <v>462</v>
      </c>
      <c r="J19" s="74" t="s">
        <v>509</v>
      </c>
      <c r="K19" s="261" t="s">
        <v>818</v>
      </c>
      <c r="L19" s="695"/>
      <c r="M19" s="164"/>
      <c r="N19" s="57"/>
      <c r="O19" s="57"/>
      <c r="P19" s="57"/>
      <c r="Q19" s="57"/>
      <c r="R19" s="57"/>
      <c r="S19" s="57"/>
      <c r="T19" s="59"/>
      <c r="U19" s="59"/>
      <c r="V19" s="165" t="e">
        <f t="shared" si="1"/>
        <v>#DIV/0!</v>
      </c>
      <c r="W19" s="164"/>
      <c r="X19" s="57"/>
      <c r="Y19" s="57"/>
      <c r="Z19" s="57"/>
      <c r="AA19" s="57"/>
      <c r="AB19" s="57"/>
      <c r="AC19" s="57"/>
      <c r="AD19" s="59"/>
      <c r="AE19" s="59"/>
      <c r="AF19" s="165" t="e">
        <f t="shared" si="2"/>
        <v>#DIV/0!</v>
      </c>
      <c r="AG19" s="164"/>
      <c r="AH19" s="57"/>
      <c r="AI19" s="484"/>
      <c r="AJ19" s="57"/>
      <c r="AK19" s="57"/>
      <c r="AL19" s="57"/>
      <c r="AM19" s="59"/>
      <c r="AN19" s="55"/>
      <c r="AO19" s="165" t="e">
        <f t="shared" si="3"/>
        <v>#DIV/0!</v>
      </c>
      <c r="AP19" s="178" t="s">
        <v>226</v>
      </c>
      <c r="AQ19" s="26" t="str">
        <f>IFERROR(IF(V19&gt;=0.04,0.04/(V19*100%),1),"-")</f>
        <v>-</v>
      </c>
      <c r="AR19" s="26" t="str">
        <f>IFERROR(IF(AF19&gt;=0.04,0.04/(AF19*100%),1),"-")</f>
        <v>-</v>
      </c>
      <c r="AS19" s="26" t="str">
        <f>IFERROR(IF(AO19&gt;=0.04,0.04/(AO19*100%),1),"-")</f>
        <v>-</v>
      </c>
      <c r="AT19" s="179" t="str">
        <f t="shared" si="0"/>
        <v>-</v>
      </c>
      <c r="AU19" s="183"/>
      <c r="AV19" s="35"/>
      <c r="AW19" s="36"/>
      <c r="AX19" s="184"/>
    </row>
    <row r="20" spans="1:50" ht="72" customHeight="1" x14ac:dyDescent="0.25">
      <c r="A20" s="697"/>
      <c r="B20" s="696"/>
      <c r="C20" s="696"/>
      <c r="D20" s="696"/>
      <c r="E20" s="696"/>
      <c r="F20" s="693"/>
      <c r="G20" s="76" t="s">
        <v>463</v>
      </c>
      <c r="H20" s="83" t="s">
        <v>464</v>
      </c>
      <c r="I20" s="74">
        <v>1</v>
      </c>
      <c r="J20" s="74" t="s">
        <v>496</v>
      </c>
      <c r="K20" s="261" t="s">
        <v>822</v>
      </c>
      <c r="L20" s="695"/>
      <c r="M20" s="164"/>
      <c r="N20" s="57"/>
      <c r="O20" s="57"/>
      <c r="P20" s="57"/>
      <c r="Q20" s="57"/>
      <c r="R20" s="57"/>
      <c r="S20" s="57"/>
      <c r="T20" s="59"/>
      <c r="U20" s="59"/>
      <c r="V20" s="165" t="e">
        <f t="shared" si="1"/>
        <v>#DIV/0!</v>
      </c>
      <c r="W20" s="164"/>
      <c r="X20" s="57"/>
      <c r="Y20" s="57"/>
      <c r="Z20" s="57"/>
      <c r="AA20" s="57"/>
      <c r="AB20" s="57"/>
      <c r="AC20" s="57"/>
      <c r="AD20" s="59"/>
      <c r="AE20" s="59"/>
      <c r="AF20" s="165" t="e">
        <f t="shared" si="2"/>
        <v>#DIV/0!</v>
      </c>
      <c r="AG20" s="164"/>
      <c r="AH20" s="57"/>
      <c r="AI20" s="57"/>
      <c r="AJ20" s="57"/>
      <c r="AK20" s="57"/>
      <c r="AL20" s="57"/>
      <c r="AM20" s="59"/>
      <c r="AN20" s="55"/>
      <c r="AO20" s="165" t="e">
        <f t="shared" si="3"/>
        <v>#DIV/0!</v>
      </c>
      <c r="AP20" s="178" t="s">
        <v>226</v>
      </c>
      <c r="AQ20" s="26" t="str">
        <f>IFERROR((V20*100%)/I20,"-")</f>
        <v>-</v>
      </c>
      <c r="AR20" s="26" t="str">
        <f t="shared" ref="AR20" si="4">IFERROR((AF20*100%)/I20,"-")</f>
        <v>-</v>
      </c>
      <c r="AS20" s="26" t="str">
        <f t="shared" ref="AS20" si="5">IFERROR((AO20*100%)/I20,"-")</f>
        <v>-</v>
      </c>
      <c r="AT20" s="179" t="str">
        <f t="shared" si="0"/>
        <v>-</v>
      </c>
      <c r="AU20" s="183"/>
      <c r="AV20" s="35"/>
      <c r="AW20" s="36"/>
      <c r="AX20" s="184"/>
    </row>
    <row r="21" spans="1:50" ht="63.75" customHeight="1" x14ac:dyDescent="0.25">
      <c r="A21" s="697"/>
      <c r="B21" s="696"/>
      <c r="C21" s="696"/>
      <c r="D21" s="696"/>
      <c r="E21" s="696"/>
      <c r="F21" s="693"/>
      <c r="G21" s="76" t="s">
        <v>465</v>
      </c>
      <c r="H21" s="83" t="s">
        <v>466</v>
      </c>
      <c r="I21" s="74" t="s">
        <v>454</v>
      </c>
      <c r="J21" s="74" t="s">
        <v>496</v>
      </c>
      <c r="K21" s="261" t="s">
        <v>814</v>
      </c>
      <c r="L21" s="695"/>
      <c r="M21" s="433"/>
      <c r="N21" s="57"/>
      <c r="O21" s="57"/>
      <c r="P21" s="57"/>
      <c r="Q21" s="57"/>
      <c r="R21" s="57"/>
      <c r="S21" s="57"/>
      <c r="T21" s="59"/>
      <c r="U21" s="59"/>
      <c r="V21" s="165" t="e">
        <f t="shared" si="1"/>
        <v>#DIV/0!</v>
      </c>
      <c r="W21" s="164"/>
      <c r="X21" s="57"/>
      <c r="Y21" s="57"/>
      <c r="Z21" s="57"/>
      <c r="AA21" s="57"/>
      <c r="AB21" s="57"/>
      <c r="AC21" s="57"/>
      <c r="AD21" s="59"/>
      <c r="AE21" s="59"/>
      <c r="AF21" s="165" t="e">
        <f t="shared" si="2"/>
        <v>#DIV/0!</v>
      </c>
      <c r="AG21" s="433"/>
      <c r="AH21" s="57"/>
      <c r="AI21" s="57"/>
      <c r="AJ21" s="57"/>
      <c r="AK21" s="57"/>
      <c r="AL21" s="57"/>
      <c r="AM21" s="59"/>
      <c r="AN21" s="55"/>
      <c r="AO21" s="165" t="e">
        <f t="shared" si="3"/>
        <v>#DIV/0!</v>
      </c>
      <c r="AP21" s="178" t="s">
        <v>226</v>
      </c>
      <c r="AQ21" s="26" t="str">
        <f>IFERROR(IF(V21&gt;1,1,(V21*100%)/1),"-")</f>
        <v>-</v>
      </c>
      <c r="AR21" s="26" t="str">
        <f>IFERROR(IF(AF21&gt;1,1,(AF21*100%)/1),"-")</f>
        <v>-</v>
      </c>
      <c r="AS21" s="26" t="str">
        <f>IFERROR(IF(AO21&gt;1,1,(AO21*100%)/1),"-")</f>
        <v>-</v>
      </c>
      <c r="AT21" s="179" t="str">
        <f t="shared" si="0"/>
        <v>-</v>
      </c>
      <c r="AU21" s="183"/>
      <c r="AV21" s="35"/>
      <c r="AW21" s="36"/>
      <c r="AX21" s="184"/>
    </row>
    <row r="22" spans="1:50" ht="66.75" customHeight="1" x14ac:dyDescent="0.25">
      <c r="A22" s="697"/>
      <c r="B22" s="601"/>
      <c r="C22" s="696"/>
      <c r="D22" s="696"/>
      <c r="E22" s="696"/>
      <c r="F22" s="693"/>
      <c r="G22" s="76" t="s">
        <v>468</v>
      </c>
      <c r="H22" s="83" t="s">
        <v>469</v>
      </c>
      <c r="I22" s="147" t="s">
        <v>825</v>
      </c>
      <c r="J22" s="147" t="s">
        <v>496</v>
      </c>
      <c r="K22" s="261" t="s">
        <v>815</v>
      </c>
      <c r="L22" s="695"/>
      <c r="M22" s="164"/>
      <c r="N22" s="55"/>
      <c r="O22" s="55"/>
      <c r="P22" s="7"/>
      <c r="Q22" s="7"/>
      <c r="R22" s="7"/>
      <c r="S22" s="7"/>
      <c r="T22" s="59"/>
      <c r="U22" s="59"/>
      <c r="V22" s="165" t="e">
        <f t="shared" si="1"/>
        <v>#DIV/0!</v>
      </c>
      <c r="W22" s="164"/>
      <c r="X22" s="55"/>
      <c r="Y22" s="55"/>
      <c r="Z22" s="7"/>
      <c r="AA22" s="7"/>
      <c r="AB22" s="7"/>
      <c r="AC22" s="7"/>
      <c r="AD22" s="59"/>
      <c r="AE22" s="59"/>
      <c r="AF22" s="165" t="e">
        <f t="shared" si="2"/>
        <v>#DIV/0!</v>
      </c>
      <c r="AG22" s="435"/>
      <c r="AH22" s="55"/>
      <c r="AI22" s="55"/>
      <c r="AJ22" s="7"/>
      <c r="AK22" s="7"/>
      <c r="AL22" s="7"/>
      <c r="AM22" s="59"/>
      <c r="AN22" s="55"/>
      <c r="AO22" s="165" t="e">
        <f t="shared" si="3"/>
        <v>#DIV/0!</v>
      </c>
      <c r="AP22" s="178" t="s">
        <v>226</v>
      </c>
      <c r="AQ22" s="26" t="s">
        <v>428</v>
      </c>
      <c r="AR22" s="26" t="str">
        <f>IFERROR((AF22*100%)/$I$22,"-")</f>
        <v>-</v>
      </c>
      <c r="AS22" s="26" t="s">
        <v>428</v>
      </c>
      <c r="AT22" s="179" t="str">
        <f>IFERROR(AVERAGE(AP22:AS22),"-")</f>
        <v>-</v>
      </c>
      <c r="AU22" s="185"/>
      <c r="AV22" s="30"/>
      <c r="AW22" s="28"/>
      <c r="AX22" s="215"/>
    </row>
    <row r="23" spans="1:50" ht="66.75" customHeight="1" x14ac:dyDescent="0.25">
      <c r="A23" s="346"/>
      <c r="B23" s="345"/>
      <c r="C23" s="347"/>
      <c r="D23" s="347"/>
      <c r="E23" s="347"/>
      <c r="F23" s="693"/>
      <c r="G23" s="349" t="s">
        <v>656</v>
      </c>
      <c r="H23" s="84" t="s">
        <v>660</v>
      </c>
      <c r="I23" s="350" t="s">
        <v>658</v>
      </c>
      <c r="J23" s="147" t="s">
        <v>496</v>
      </c>
      <c r="K23" s="261" t="s">
        <v>821</v>
      </c>
      <c r="L23" s="348"/>
      <c r="M23" s="413"/>
      <c r="N23" s="55"/>
      <c r="O23" s="55"/>
      <c r="P23" s="7"/>
      <c r="Q23" s="7"/>
      <c r="R23" s="7"/>
      <c r="S23" s="7"/>
      <c r="T23" s="60"/>
      <c r="U23" s="60"/>
      <c r="V23" s="165" t="e">
        <f t="shared" si="1"/>
        <v>#DIV/0!</v>
      </c>
      <c r="W23" s="279"/>
      <c r="X23" s="280"/>
      <c r="Y23" s="280"/>
      <c r="Z23" s="281"/>
      <c r="AA23" s="281"/>
      <c r="AB23" s="281"/>
      <c r="AC23" s="281"/>
      <c r="AD23" s="193"/>
      <c r="AE23" s="59"/>
      <c r="AF23" s="165" t="e">
        <f t="shared" si="2"/>
        <v>#DIV/0!</v>
      </c>
      <c r="AG23" s="279"/>
      <c r="AH23" s="280"/>
      <c r="AI23" s="280"/>
      <c r="AJ23" s="281"/>
      <c r="AK23" s="281"/>
      <c r="AL23" s="281"/>
      <c r="AM23" s="193"/>
      <c r="AN23" s="55"/>
      <c r="AO23" s="165" t="e">
        <f t="shared" si="3"/>
        <v>#DIV/0!</v>
      </c>
      <c r="AP23" s="178" t="s">
        <v>226</v>
      </c>
      <c r="AQ23" s="26" t="str">
        <f>IFERROR(IF(V23&gt;=0.1,1,(V23*100%)/0.1),"-")</f>
        <v>-</v>
      </c>
      <c r="AR23" s="26" t="str">
        <f>IFERROR(IF(AF23&gt;=0.1,1,(AF23*100%)/0.1),"-")</f>
        <v>-</v>
      </c>
      <c r="AS23" s="26" t="str">
        <f>IFERROR(IF(AO23&gt;=0.1,1,(AO23*100%)/0.1),"-")</f>
        <v>-</v>
      </c>
      <c r="AT23" s="179" t="str">
        <f t="shared" ref="AT23:AT25" si="6">IFERROR(AVERAGE(AP23:AS23),"-")</f>
        <v>-</v>
      </c>
      <c r="AU23" s="282"/>
      <c r="AV23" s="283"/>
      <c r="AW23" s="284"/>
      <c r="AX23" s="285"/>
    </row>
    <row r="24" spans="1:50" ht="108" customHeight="1" x14ac:dyDescent="0.25">
      <c r="A24" s="346"/>
      <c r="B24" s="345"/>
      <c r="C24" s="347"/>
      <c r="D24" s="347"/>
      <c r="E24" s="347"/>
      <c r="F24" s="693"/>
      <c r="G24" s="349" t="s">
        <v>657</v>
      </c>
      <c r="H24" s="84" t="s">
        <v>824</v>
      </c>
      <c r="I24" s="335">
        <v>1</v>
      </c>
      <c r="J24" s="147" t="s">
        <v>496</v>
      </c>
      <c r="K24" s="350" t="s">
        <v>659</v>
      </c>
      <c r="L24" s="348"/>
      <c r="M24" s="413"/>
      <c r="N24" s="55"/>
      <c r="O24" s="55"/>
      <c r="P24" s="7"/>
      <c r="Q24" s="7"/>
      <c r="R24" s="7"/>
      <c r="S24" s="7"/>
      <c r="T24" s="60"/>
      <c r="U24" s="60"/>
      <c r="V24" s="165" t="e">
        <f t="shared" si="1"/>
        <v>#DIV/0!</v>
      </c>
      <c r="W24" s="279"/>
      <c r="X24" s="280"/>
      <c r="Y24" s="280"/>
      <c r="Z24" s="281"/>
      <c r="AA24" s="281"/>
      <c r="AB24" s="281"/>
      <c r="AC24" s="281"/>
      <c r="AD24" s="193"/>
      <c r="AE24" s="59"/>
      <c r="AF24" s="165" t="e">
        <f t="shared" si="2"/>
        <v>#DIV/0!</v>
      </c>
      <c r="AG24" s="279"/>
      <c r="AH24" s="280"/>
      <c r="AI24" s="280"/>
      <c r="AJ24" s="485"/>
      <c r="AK24" s="281"/>
      <c r="AL24" s="281"/>
      <c r="AM24" s="193"/>
      <c r="AN24" s="55"/>
      <c r="AO24" s="165" t="e">
        <f t="shared" si="3"/>
        <v>#DIV/0!</v>
      </c>
      <c r="AP24" s="178" t="s">
        <v>226</v>
      </c>
      <c r="AQ24" s="26" t="str">
        <f>IFERROR((V24*100%)/$I$22,"-")</f>
        <v>-</v>
      </c>
      <c r="AR24" s="26" t="str">
        <f t="shared" ref="AR24" si="7">IFERROR((AF24*100%)/$I$22,"-")</f>
        <v>-</v>
      </c>
      <c r="AS24" s="26" t="str">
        <f t="shared" ref="AS24" si="8">IFERROR((AO24*100%)/$I$22,"-")</f>
        <v>-</v>
      </c>
      <c r="AT24" s="179" t="str">
        <f t="shared" si="6"/>
        <v>-</v>
      </c>
      <c r="AU24" s="282"/>
      <c r="AV24" s="283"/>
      <c r="AW24" s="284"/>
      <c r="AX24" s="285"/>
    </row>
    <row r="25" spans="1:50" ht="66.75" customHeight="1" x14ac:dyDescent="0.25">
      <c r="A25" s="276"/>
      <c r="B25" s="275"/>
      <c r="C25" s="277"/>
      <c r="D25" s="277"/>
      <c r="E25" s="277"/>
      <c r="F25" s="694"/>
      <c r="G25" s="333" t="s">
        <v>623</v>
      </c>
      <c r="H25" s="334" t="s">
        <v>39</v>
      </c>
      <c r="I25" s="335" t="s">
        <v>654</v>
      </c>
      <c r="J25" s="147" t="s">
        <v>496</v>
      </c>
      <c r="K25" s="339"/>
      <c r="L25" s="278"/>
      <c r="M25" s="702" t="s">
        <v>624</v>
      </c>
      <c r="N25" s="703"/>
      <c r="O25" s="703"/>
      <c r="P25" s="703"/>
      <c r="Q25" s="703"/>
      <c r="R25" s="703"/>
      <c r="S25" s="703"/>
      <c r="T25" s="703"/>
      <c r="U25" s="704"/>
      <c r="V25" s="165" t="e">
        <f>AVERAGE(V7:V24)</f>
        <v>#DIV/0!</v>
      </c>
      <c r="W25" s="279"/>
      <c r="X25" s="280"/>
      <c r="Y25" s="280"/>
      <c r="Z25" s="281"/>
      <c r="AA25" s="281"/>
      <c r="AB25" s="281"/>
      <c r="AC25" s="281"/>
      <c r="AD25" s="193"/>
      <c r="AE25" s="59"/>
      <c r="AF25" s="165" t="e">
        <f>AVERAGE(AF7:AF24)</f>
        <v>#DIV/0!</v>
      </c>
      <c r="AG25" s="279"/>
      <c r="AH25" s="280"/>
      <c r="AI25" s="280"/>
      <c r="AJ25" s="281"/>
      <c r="AK25" s="281"/>
      <c r="AL25" s="281"/>
      <c r="AM25" s="193"/>
      <c r="AN25" s="59"/>
      <c r="AO25" s="165" t="e">
        <f t="shared" ref="AO25" si="9">+AVERAGE(AG25:AL25)</f>
        <v>#DIV/0!</v>
      </c>
      <c r="AP25" s="178" t="s">
        <v>226</v>
      </c>
      <c r="AQ25" s="26" t="str">
        <f>IFERROR((V25*100%)/$I$22,"-")</f>
        <v>-</v>
      </c>
      <c r="AR25" s="26" t="str">
        <f>IFERROR(IF(AF25&gt;=0.85,1,(AF25*100%)/0.85),"-")</f>
        <v>-</v>
      </c>
      <c r="AS25" s="26" t="str">
        <f>IFERROR(IF(AO25&gt;=0.85,1,(AO25*100%)/0.85),"-")</f>
        <v>-</v>
      </c>
      <c r="AT25" s="179" t="str">
        <f t="shared" si="6"/>
        <v>-</v>
      </c>
      <c r="AU25" s="282"/>
      <c r="AV25" s="283"/>
      <c r="AW25" s="284"/>
      <c r="AX25" s="285"/>
    </row>
    <row r="26" spans="1:50" ht="27" customHeight="1" thickBot="1" x14ac:dyDescent="0.3">
      <c r="A26" s="596" t="s">
        <v>294</v>
      </c>
      <c r="B26" s="597"/>
      <c r="C26" s="597"/>
      <c r="D26" s="597"/>
      <c r="E26" s="597"/>
      <c r="F26" s="597"/>
      <c r="G26" s="597"/>
      <c r="H26" s="597"/>
      <c r="I26" s="597"/>
      <c r="J26" s="597"/>
      <c r="K26" s="598"/>
      <c r="L26" s="599"/>
      <c r="M26" s="434"/>
      <c r="N26" s="361" t="str">
        <f>IFERROR(AVERAGE(N7:N22),"-")</f>
        <v>-</v>
      </c>
      <c r="O26" s="361" t="str">
        <f>IFERROR(AVERAGE(O7:O22),"-")</f>
        <v>-</v>
      </c>
      <c r="P26" s="361" t="str">
        <f>IFERROR(AVERAGE(P7:P24),"-")</f>
        <v>-</v>
      </c>
      <c r="Q26" s="361" t="str">
        <f>IFERROR(AVERAGE(Q7:Q22),"-")</f>
        <v>-</v>
      </c>
      <c r="R26" s="361" t="str">
        <f>IFERROR(AVERAGE(R7:R22),"-")</f>
        <v>-</v>
      </c>
      <c r="S26" s="361" t="str">
        <f>IFERROR(AVERAGE(S7:S22),"-")</f>
        <v>-</v>
      </c>
      <c r="T26" s="169"/>
      <c r="U26" s="130"/>
      <c r="V26" s="336"/>
      <c r="W26" s="192" t="str">
        <f t="shared" ref="W26:AC26" si="10">IFERROR(AVERAGE(W7:W22),"-")</f>
        <v>-</v>
      </c>
      <c r="X26" s="193" t="str">
        <f t="shared" si="10"/>
        <v>-</v>
      </c>
      <c r="Y26" s="193" t="str">
        <f t="shared" si="10"/>
        <v>-</v>
      </c>
      <c r="Z26" s="193" t="str">
        <f t="shared" si="10"/>
        <v>-</v>
      </c>
      <c r="AA26" s="193" t="str">
        <f t="shared" si="10"/>
        <v>-</v>
      </c>
      <c r="AB26" s="193" t="str">
        <f t="shared" si="10"/>
        <v>-</v>
      </c>
      <c r="AC26" s="193" t="str">
        <f t="shared" si="10"/>
        <v>-</v>
      </c>
      <c r="AD26" s="169"/>
      <c r="AE26" s="130"/>
      <c r="AF26" s="700" t="str">
        <f t="shared" ref="AF26:AL26" si="11">IFERROR(AVERAGE(AF7:AF22),"-")</f>
        <v>-</v>
      </c>
      <c r="AG26" s="192" t="str">
        <f t="shared" si="11"/>
        <v>-</v>
      </c>
      <c r="AH26" s="193" t="str">
        <f t="shared" si="11"/>
        <v>-</v>
      </c>
      <c r="AI26" s="193" t="str">
        <f t="shared" si="11"/>
        <v>-</v>
      </c>
      <c r="AJ26" s="193" t="str">
        <f t="shared" si="11"/>
        <v>-</v>
      </c>
      <c r="AK26" s="193" t="str">
        <f t="shared" si="11"/>
        <v>-</v>
      </c>
      <c r="AL26" s="193" t="str">
        <f t="shared" si="11"/>
        <v>-</v>
      </c>
      <c r="AM26" s="169"/>
      <c r="AN26" s="130"/>
      <c r="AO26" s="616" t="str">
        <f>IFERROR(AVERAGE(AO7:AO22),"-")</f>
        <v>-</v>
      </c>
      <c r="AP26" s="192" t="str">
        <f>IFERROR(AVERAGE(AP7:AP22),"-")</f>
        <v>-</v>
      </c>
      <c r="AQ26" s="193" t="str">
        <f>IFERROR(AVERAGE(AQ7:AQ25),"-")</f>
        <v>-</v>
      </c>
      <c r="AR26" s="193" t="str">
        <f t="shared" ref="AR26:AS26" si="12">IFERROR(AVERAGE(AR7:AR25),"-")</f>
        <v>-</v>
      </c>
      <c r="AS26" s="193" t="str">
        <f t="shared" si="12"/>
        <v>-</v>
      </c>
      <c r="AT26" s="698" t="str">
        <f>IFERROR(AVERAGE(AT7:AT25),"-")</f>
        <v>-</v>
      </c>
      <c r="AU26" s="187"/>
      <c r="AV26" s="188"/>
      <c r="AW26" s="189"/>
      <c r="AX26" s="190"/>
    </row>
    <row r="27" spans="1:50" ht="27" thickBot="1" x14ac:dyDescent="0.3">
      <c r="A27" s="29"/>
      <c r="B27" s="29"/>
      <c r="C27" s="29"/>
      <c r="D27" s="29"/>
      <c r="E27" s="29"/>
      <c r="F27" s="38"/>
      <c r="G27" s="29"/>
      <c r="H27" s="114"/>
      <c r="I27" s="114"/>
      <c r="J27" s="114"/>
      <c r="K27" s="114"/>
      <c r="L27" s="29"/>
      <c r="M27" s="219"/>
      <c r="N27" s="195"/>
      <c r="O27" s="195"/>
      <c r="P27" s="195"/>
      <c r="Q27" s="195"/>
      <c r="R27" s="195"/>
      <c r="S27" s="203"/>
      <c r="T27" s="202"/>
      <c r="U27" s="705" t="s">
        <v>296</v>
      </c>
      <c r="V27" s="706"/>
      <c r="W27" s="217"/>
      <c r="X27" s="195"/>
      <c r="Y27" s="195"/>
      <c r="Z27" s="195"/>
      <c r="AA27" s="195"/>
      <c r="AB27" s="195"/>
      <c r="AC27" s="195"/>
      <c r="AD27" s="202"/>
      <c r="AE27" s="209" t="s">
        <v>485</v>
      </c>
      <c r="AF27" s="701"/>
      <c r="AG27" s="217"/>
      <c r="AH27" s="195"/>
      <c r="AI27" s="195"/>
      <c r="AJ27" s="195"/>
      <c r="AK27" s="195"/>
      <c r="AL27" s="195"/>
      <c r="AM27" s="202"/>
      <c r="AN27" s="209" t="s">
        <v>486</v>
      </c>
      <c r="AO27" s="617"/>
      <c r="AP27" s="194"/>
      <c r="AQ27" s="195"/>
      <c r="AR27" s="196"/>
      <c r="AS27" s="180" t="s">
        <v>295</v>
      </c>
      <c r="AT27" s="699"/>
      <c r="AU27" s="29"/>
      <c r="AV27" s="29"/>
      <c r="AW27" s="29"/>
      <c r="AX27" s="29"/>
    </row>
  </sheetData>
  <mergeCells count="43">
    <mergeCell ref="A1:B1"/>
    <mergeCell ref="C1:AU1"/>
    <mergeCell ref="A5:A6"/>
    <mergeCell ref="B5:B6"/>
    <mergeCell ref="C5:C6"/>
    <mergeCell ref="D5:D6"/>
    <mergeCell ref="AU5:AX5"/>
    <mergeCell ref="AP5:AT5"/>
    <mergeCell ref="V5:V6"/>
    <mergeCell ref="AF5:AF6"/>
    <mergeCell ref="AV1:AX2"/>
    <mergeCell ref="A2:B3"/>
    <mergeCell ref="C2:AU3"/>
    <mergeCell ref="AV3:AX3"/>
    <mergeCell ref="A4:D4"/>
    <mergeCell ref="AO5:AO6"/>
    <mergeCell ref="L5:L6"/>
    <mergeCell ref="AT26:AT27"/>
    <mergeCell ref="AD5:AD6"/>
    <mergeCell ref="AE5:AE6"/>
    <mergeCell ref="AM5:AM6"/>
    <mergeCell ref="AN5:AN6"/>
    <mergeCell ref="AO26:AO27"/>
    <mergeCell ref="AF26:AF27"/>
    <mergeCell ref="M25:U25"/>
    <mergeCell ref="U27:V27"/>
    <mergeCell ref="U5:U6"/>
    <mergeCell ref="F7:F25"/>
    <mergeCell ref="T5:T6"/>
    <mergeCell ref="L7:L22"/>
    <mergeCell ref="K5:K6"/>
    <mergeCell ref="A26:L26"/>
    <mergeCell ref="E5:E6"/>
    <mergeCell ref="C7:C22"/>
    <mergeCell ref="D7:D22"/>
    <mergeCell ref="E7:E22"/>
    <mergeCell ref="F5:F6"/>
    <mergeCell ref="A7:A22"/>
    <mergeCell ref="B7:B22"/>
    <mergeCell ref="J5:J6"/>
    <mergeCell ref="G5:G6"/>
    <mergeCell ref="H5:H6"/>
    <mergeCell ref="I5:I6"/>
  </mergeCells>
  <conditionalFormatting sqref="AT26 AP7:AT25">
    <cfRule type="cellIs" dxfId="56" priority="1" operator="lessThan">
      <formula>0.6</formula>
    </cfRule>
    <cfRule type="cellIs" dxfId="55" priority="2" operator="between">
      <formula>60%</formula>
      <formula>79%</formula>
    </cfRule>
    <cfRule type="cellIs" dxfId="54" priority="3" operator="between">
      <formula>80%</formula>
      <formula>100%</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G12"/>
  <sheetViews>
    <sheetView zoomScale="70" zoomScaleNormal="70" workbookViewId="0">
      <selection activeCell="P4" sqref="P1:Y1048576"/>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7" max="7" width="20" customWidth="1"/>
    <col min="8" max="8" width="28.140625" style="145" customWidth="1"/>
    <col min="9" max="10" width="14.42578125" style="252" customWidth="1"/>
    <col min="11" max="11" width="18.7109375" customWidth="1"/>
    <col min="12" max="12" width="16.7109375" customWidth="1"/>
    <col min="13" max="13" width="19.42578125" style="153" customWidth="1"/>
    <col min="14" max="14" width="28.85546875" customWidth="1"/>
    <col min="15" max="16" width="21.85546875" customWidth="1"/>
    <col min="17" max="17" width="19.42578125" customWidth="1"/>
    <col min="18" max="18" width="28.85546875" customWidth="1"/>
    <col min="19" max="20" width="21.85546875" customWidth="1"/>
    <col min="21" max="21" width="19.42578125" customWidth="1"/>
    <col min="22" max="22" width="28.85546875" customWidth="1"/>
    <col min="23" max="24" width="21.85546875" customWidth="1"/>
    <col min="25" max="29" width="17.7109375" customWidth="1"/>
    <col min="30" max="33" width="26.5703125" customWidth="1"/>
  </cols>
  <sheetData>
    <row r="1" spans="1:33"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772</v>
      </c>
      <c r="AF3" s="613"/>
      <c r="AG3" s="613"/>
    </row>
    <row r="4" spans="1:33" ht="15.75" thickBot="1" x14ac:dyDescent="0.3">
      <c r="A4" s="627" t="s">
        <v>193</v>
      </c>
      <c r="B4" s="627"/>
      <c r="C4" s="627"/>
      <c r="D4" s="627"/>
      <c r="E4" s="29"/>
      <c r="F4" s="38"/>
      <c r="G4" s="29"/>
      <c r="H4" s="114"/>
      <c r="I4" s="114"/>
      <c r="J4" s="114"/>
      <c r="K4" s="29"/>
      <c r="L4" s="29"/>
      <c r="M4" s="56"/>
      <c r="N4" s="29"/>
      <c r="O4" s="29"/>
      <c r="P4" s="29"/>
      <c r="Q4" s="56"/>
      <c r="R4" s="29"/>
      <c r="S4" s="29"/>
      <c r="T4" s="29"/>
      <c r="U4" s="56"/>
      <c r="V4" s="29"/>
      <c r="W4" s="29"/>
      <c r="X4" s="29"/>
      <c r="Y4" s="29"/>
      <c r="Z4" s="29"/>
      <c r="AA4" s="29"/>
      <c r="AB4" s="29"/>
      <c r="AC4" s="29"/>
      <c r="AD4" s="29"/>
      <c r="AE4" s="29"/>
      <c r="AF4" s="29"/>
      <c r="AG4" s="29"/>
    </row>
    <row r="5" spans="1:33" ht="57" customHeight="1" x14ac:dyDescent="0.25">
      <c r="A5" s="606" t="s">
        <v>1</v>
      </c>
      <c r="B5" s="594" t="s">
        <v>3</v>
      </c>
      <c r="C5" s="594" t="s">
        <v>194</v>
      </c>
      <c r="D5" s="594" t="s">
        <v>195</v>
      </c>
      <c r="E5" s="594" t="s">
        <v>196</v>
      </c>
      <c r="F5" s="642" t="s">
        <v>742</v>
      </c>
      <c r="G5" s="594" t="s">
        <v>228</v>
      </c>
      <c r="H5" s="594" t="s">
        <v>227</v>
      </c>
      <c r="I5" s="594" t="s">
        <v>8</v>
      </c>
      <c r="J5" s="594" t="s">
        <v>495</v>
      </c>
      <c r="K5" s="594" t="s">
        <v>519</v>
      </c>
      <c r="L5" s="640" t="s">
        <v>9</v>
      </c>
      <c r="M5" s="199" t="s">
        <v>318</v>
      </c>
      <c r="N5" s="676" t="s">
        <v>421</v>
      </c>
      <c r="O5" s="610" t="s">
        <v>423</v>
      </c>
      <c r="P5" s="608" t="s">
        <v>488</v>
      </c>
      <c r="Q5" s="199" t="s">
        <v>318</v>
      </c>
      <c r="R5" s="676" t="s">
        <v>421</v>
      </c>
      <c r="S5" s="610" t="s">
        <v>423</v>
      </c>
      <c r="T5" s="608" t="s">
        <v>491</v>
      </c>
      <c r="U5" s="199" t="s">
        <v>318</v>
      </c>
      <c r="V5" s="676" t="s">
        <v>421</v>
      </c>
      <c r="W5" s="610" t="s">
        <v>423</v>
      </c>
      <c r="X5" s="608" t="s">
        <v>502</v>
      </c>
      <c r="Y5" s="652" t="s">
        <v>11</v>
      </c>
      <c r="Z5" s="653"/>
      <c r="AA5" s="653"/>
      <c r="AB5" s="653"/>
      <c r="AC5" s="654"/>
      <c r="AD5" s="624" t="s">
        <v>557</v>
      </c>
      <c r="AE5" s="625"/>
      <c r="AF5" s="625"/>
      <c r="AG5" s="626"/>
    </row>
    <row r="6" spans="1:33" ht="57" customHeight="1" x14ac:dyDescent="0.25">
      <c r="A6" s="607"/>
      <c r="B6" s="535"/>
      <c r="C6" s="535"/>
      <c r="D6" s="535"/>
      <c r="E6" s="535"/>
      <c r="F6" s="643"/>
      <c r="G6" s="535"/>
      <c r="H6" s="535"/>
      <c r="I6" s="535"/>
      <c r="J6" s="535"/>
      <c r="K6" s="535"/>
      <c r="L6" s="641"/>
      <c r="M6" s="163" t="s">
        <v>299</v>
      </c>
      <c r="N6" s="677"/>
      <c r="O6" s="611"/>
      <c r="P6" s="609"/>
      <c r="Q6" s="163" t="s">
        <v>288</v>
      </c>
      <c r="R6" s="677"/>
      <c r="S6" s="611"/>
      <c r="T6" s="609"/>
      <c r="U6" s="163" t="s">
        <v>313</v>
      </c>
      <c r="V6" s="677"/>
      <c r="W6" s="611"/>
      <c r="X6" s="609"/>
      <c r="Y6" s="176" t="s">
        <v>198</v>
      </c>
      <c r="Z6" s="5" t="s">
        <v>199</v>
      </c>
      <c r="AA6" s="5" t="s">
        <v>200</v>
      </c>
      <c r="AB6" s="5" t="s">
        <v>201</v>
      </c>
      <c r="AC6" s="177" t="s">
        <v>20</v>
      </c>
      <c r="AD6" s="181" t="s">
        <v>202</v>
      </c>
      <c r="AE6" s="33" t="s">
        <v>203</v>
      </c>
      <c r="AF6" s="33" t="s">
        <v>204</v>
      </c>
      <c r="AG6" s="182" t="s">
        <v>205</v>
      </c>
    </row>
    <row r="7" spans="1:33" ht="78" customHeight="1" x14ac:dyDescent="0.25">
      <c r="A7" s="710" t="s">
        <v>76</v>
      </c>
      <c r="B7" s="709" t="s">
        <v>712</v>
      </c>
      <c r="C7" s="709" t="s">
        <v>713</v>
      </c>
      <c r="D7" s="709" t="s">
        <v>82</v>
      </c>
      <c r="E7" s="709" t="s">
        <v>715</v>
      </c>
      <c r="F7" s="708">
        <f>+'PLAN DESARROLLO'!E13</f>
        <v>0.8</v>
      </c>
      <c r="G7" s="76" t="s">
        <v>474</v>
      </c>
      <c r="H7" s="83" t="s">
        <v>475</v>
      </c>
      <c r="I7" s="74">
        <v>1</v>
      </c>
      <c r="J7" s="74" t="s">
        <v>496</v>
      </c>
      <c r="K7" s="146" t="s">
        <v>651</v>
      </c>
      <c r="L7" s="716"/>
      <c r="M7" s="164"/>
      <c r="N7" s="7"/>
      <c r="O7" s="7"/>
      <c r="P7" s="238">
        <f>+M7</f>
        <v>0</v>
      </c>
      <c r="Q7" s="164"/>
      <c r="R7" s="7"/>
      <c r="S7" s="7"/>
      <c r="T7" s="238">
        <f t="shared" ref="T7:T9" si="0">+Q7</f>
        <v>0</v>
      </c>
      <c r="U7" s="164"/>
      <c r="V7" s="7"/>
      <c r="W7" s="7"/>
      <c r="X7" s="238">
        <f>+U7</f>
        <v>0</v>
      </c>
      <c r="Y7" s="178" t="s">
        <v>226</v>
      </c>
      <c r="Z7" s="26">
        <f>IFERROR((P7*100%)/I7,"-")</f>
        <v>0</v>
      </c>
      <c r="AA7" s="26">
        <f>IFERROR((T7*100%)/I7,"-")</f>
        <v>0</v>
      </c>
      <c r="AB7" s="26">
        <f>IFERROR((X7*100%)/I7,"-")</f>
        <v>0</v>
      </c>
      <c r="AC7" s="179">
        <f>IFERROR(AVERAGE(Y7:AB7),"-")</f>
        <v>0</v>
      </c>
      <c r="AD7" s="185"/>
      <c r="AE7" s="30"/>
      <c r="AF7" s="28"/>
      <c r="AG7" s="186"/>
    </row>
    <row r="8" spans="1:33" ht="68.25" customHeight="1" x14ac:dyDescent="0.25">
      <c r="A8" s="711"/>
      <c r="B8" s="709"/>
      <c r="C8" s="709"/>
      <c r="D8" s="709"/>
      <c r="E8" s="709"/>
      <c r="F8" s="709"/>
      <c r="G8" s="507" t="s">
        <v>749</v>
      </c>
      <c r="H8" s="508" t="s">
        <v>750</v>
      </c>
      <c r="I8" s="74">
        <v>1</v>
      </c>
      <c r="J8" s="74" t="s">
        <v>497</v>
      </c>
      <c r="K8" s="146" t="s">
        <v>767</v>
      </c>
      <c r="L8" s="716"/>
      <c r="M8" s="164"/>
      <c r="N8" s="55"/>
      <c r="O8" s="7"/>
      <c r="P8" s="238">
        <f>+M8</f>
        <v>0</v>
      </c>
      <c r="Q8" s="164"/>
      <c r="R8" s="55"/>
      <c r="S8" s="7"/>
      <c r="T8" s="238">
        <f t="shared" si="0"/>
        <v>0</v>
      </c>
      <c r="U8" s="164"/>
      <c r="V8" s="55"/>
      <c r="W8" s="7"/>
      <c r="X8" s="238">
        <f>+U8</f>
        <v>0</v>
      </c>
      <c r="Y8" s="178" t="s">
        <v>226</v>
      </c>
      <c r="Z8" s="26">
        <f>IFERROR((P8*100%)/I8,"-")</f>
        <v>0</v>
      </c>
      <c r="AA8" s="26">
        <f>IFERROR((T8*100%)/I8,"-")</f>
        <v>0</v>
      </c>
      <c r="AB8" s="26">
        <f>IFERROR((X8*100%)/I8,"-")</f>
        <v>0</v>
      </c>
      <c r="AC8" s="179">
        <f>IFERROR(AVERAGE(Y8:AB8),"-")</f>
        <v>0</v>
      </c>
      <c r="AD8" s="185"/>
      <c r="AE8" s="30"/>
      <c r="AF8" s="28"/>
      <c r="AG8" s="215"/>
    </row>
    <row r="9" spans="1:33" ht="74.25" customHeight="1" x14ac:dyDescent="0.25">
      <c r="A9" s="711"/>
      <c r="B9" s="709"/>
      <c r="C9" s="709"/>
      <c r="D9" s="709"/>
      <c r="E9" s="709"/>
      <c r="F9" s="709"/>
      <c r="G9" s="507" t="s">
        <v>751</v>
      </c>
      <c r="H9" s="508" t="s">
        <v>752</v>
      </c>
      <c r="I9" s="74">
        <v>1</v>
      </c>
      <c r="J9" s="74" t="s">
        <v>497</v>
      </c>
      <c r="K9" s="146" t="s">
        <v>768</v>
      </c>
      <c r="L9" s="716"/>
      <c r="M9" s="164"/>
      <c r="N9" s="55"/>
      <c r="O9" s="55"/>
      <c r="P9" s="238">
        <f>+M9</f>
        <v>0</v>
      </c>
      <c r="Q9" s="164"/>
      <c r="R9" s="55"/>
      <c r="S9" s="55"/>
      <c r="T9" s="238">
        <f t="shared" si="0"/>
        <v>0</v>
      </c>
      <c r="U9" s="164"/>
      <c r="V9" s="55"/>
      <c r="W9" s="55"/>
      <c r="X9" s="238">
        <f>+U9</f>
        <v>0</v>
      </c>
      <c r="Y9" s="178" t="s">
        <v>226</v>
      </c>
      <c r="Z9" s="26">
        <f>IFERROR((P9*100%)/I9,"-")</f>
        <v>0</v>
      </c>
      <c r="AA9" s="26">
        <f>IFERROR((T9*100%)/I9,"-")</f>
        <v>0</v>
      </c>
      <c r="AB9" s="26">
        <f>IFERROR((X9*100%)/I9,"-")</f>
        <v>0</v>
      </c>
      <c r="AC9" s="179">
        <f>IFERROR(AVERAGE(Y9:AB9),"-")</f>
        <v>0</v>
      </c>
      <c r="AD9" s="185"/>
      <c r="AE9" s="30"/>
      <c r="AF9" s="28"/>
      <c r="AG9" s="215"/>
    </row>
    <row r="10" spans="1:33" ht="67.5" customHeight="1" x14ac:dyDescent="0.25">
      <c r="A10" s="712"/>
      <c r="B10" s="709"/>
      <c r="C10" s="709"/>
      <c r="D10" s="709"/>
      <c r="E10" s="709"/>
      <c r="F10" s="709"/>
      <c r="G10" s="76" t="s">
        <v>315</v>
      </c>
      <c r="H10" s="83" t="s">
        <v>316</v>
      </c>
      <c r="I10" s="74">
        <f>+F7</f>
        <v>0.8</v>
      </c>
      <c r="J10" s="74" t="s">
        <v>496</v>
      </c>
      <c r="K10" s="74" t="s">
        <v>764</v>
      </c>
      <c r="L10" s="323"/>
      <c r="M10" s="713"/>
      <c r="N10" s="714"/>
      <c r="O10" s="715"/>
      <c r="P10" s="238">
        <f>IFERROR(AVERAGE(P7:P9),"-")</f>
        <v>0</v>
      </c>
      <c r="Q10" s="164" t="s">
        <v>428</v>
      </c>
      <c r="R10" s="57"/>
      <c r="S10" s="57"/>
      <c r="T10" s="238" t="str">
        <f>+Q10</f>
        <v>-</v>
      </c>
      <c r="U10" s="164"/>
      <c r="V10" s="57"/>
      <c r="W10" s="57"/>
      <c r="X10" s="238">
        <f>+U10</f>
        <v>0</v>
      </c>
      <c r="Y10" s="178" t="s">
        <v>226</v>
      </c>
      <c r="Z10" s="26">
        <f>IFERROR(AVERAGE(Z7:Z9),"-")</f>
        <v>0</v>
      </c>
      <c r="AA10" s="26" t="str">
        <f>IFERROR((T10*100%)/I10,"-")</f>
        <v>-</v>
      </c>
      <c r="AB10" s="26">
        <f>IFERROR(IF(X10&gt;=0.75,1,(X10*100%)/0.1),"-")</f>
        <v>0</v>
      </c>
      <c r="AC10" s="179">
        <f>IFERROR(AVERAGE(Y10:AB10),"-")</f>
        <v>0</v>
      </c>
      <c r="AD10" s="183" t="s">
        <v>226</v>
      </c>
      <c r="AE10" s="35"/>
      <c r="AF10" s="36"/>
      <c r="AG10" s="184"/>
    </row>
    <row r="11" spans="1:33" ht="27" customHeight="1" thickBot="1" x14ac:dyDescent="0.3">
      <c r="A11" s="596" t="s">
        <v>294</v>
      </c>
      <c r="B11" s="597"/>
      <c r="C11" s="597"/>
      <c r="D11" s="597"/>
      <c r="E11" s="597"/>
      <c r="F11" s="597"/>
      <c r="G11" s="597"/>
      <c r="H11" s="597"/>
      <c r="I11" s="597"/>
      <c r="J11" s="598"/>
      <c r="K11" s="598"/>
      <c r="L11" s="599"/>
      <c r="M11" s="192" t="str">
        <f>IFERROR(AVERAGE(M7:M9),"-")</f>
        <v>-</v>
      </c>
      <c r="N11" s="169"/>
      <c r="O11" s="130"/>
      <c r="P11" s="336"/>
      <c r="Q11" s="192" t="str">
        <f>IFERROR(AVERAGE(Q7:Q9),"-")</f>
        <v>-</v>
      </c>
      <c r="R11" s="169"/>
      <c r="S11" s="130"/>
      <c r="T11" s="707">
        <f>IFERROR(AVERAGE(T7:T9),"-")</f>
        <v>0</v>
      </c>
      <c r="U11" s="192" t="str">
        <f>IFERROR(AVERAGE(U7:U9),"-")</f>
        <v>-</v>
      </c>
      <c r="V11" s="169"/>
      <c r="W11" s="130"/>
      <c r="X11" s="707">
        <f t="shared" ref="X11:AC11" si="1">IFERROR(AVERAGE(X7:X9),"-")</f>
        <v>0</v>
      </c>
      <c r="Y11" s="192" t="str">
        <f t="shared" si="1"/>
        <v>-</v>
      </c>
      <c r="Z11" s="193">
        <f t="shared" si="1"/>
        <v>0</v>
      </c>
      <c r="AA11" s="193">
        <f t="shared" si="1"/>
        <v>0</v>
      </c>
      <c r="AB11" s="59">
        <f t="shared" si="1"/>
        <v>0</v>
      </c>
      <c r="AC11" s="698">
        <f t="shared" si="1"/>
        <v>0</v>
      </c>
      <c r="AD11" s="187"/>
      <c r="AE11" s="188"/>
      <c r="AF11" s="189"/>
      <c r="AG11" s="190"/>
    </row>
    <row r="12" spans="1:33" ht="27" thickBot="1" x14ac:dyDescent="0.3">
      <c r="A12" s="29"/>
      <c r="B12" s="29"/>
      <c r="C12" s="29"/>
      <c r="D12" s="29"/>
      <c r="E12" s="29"/>
      <c r="F12" s="38"/>
      <c r="G12" s="29"/>
      <c r="H12" s="114"/>
      <c r="I12" s="114"/>
      <c r="J12" s="114"/>
      <c r="K12" s="29"/>
      <c r="L12" s="29"/>
      <c r="M12" s="239"/>
      <c r="N12" s="202"/>
      <c r="O12" s="705" t="s">
        <v>296</v>
      </c>
      <c r="P12" s="706"/>
      <c r="Q12" s="201"/>
      <c r="R12" s="202"/>
      <c r="S12" s="209" t="s">
        <v>297</v>
      </c>
      <c r="T12" s="671"/>
      <c r="U12" s="201"/>
      <c r="V12" s="202"/>
      <c r="W12" s="209" t="s">
        <v>298</v>
      </c>
      <c r="X12" s="671"/>
      <c r="Y12" s="194"/>
      <c r="Z12" s="195"/>
      <c r="AA12" s="196"/>
      <c r="AB12" s="180" t="s">
        <v>295</v>
      </c>
      <c r="AC12" s="699"/>
      <c r="AD12" s="29"/>
      <c r="AE12" s="29"/>
      <c r="AF12" s="29"/>
      <c r="AG12" s="29"/>
    </row>
  </sheetData>
  <mergeCells count="43">
    <mergeCell ref="A2:B3"/>
    <mergeCell ref="C2:AD3"/>
    <mergeCell ref="AE3:AG3"/>
    <mergeCell ref="A4:D4"/>
    <mergeCell ref="M10:O10"/>
    <mergeCell ref="L7:L9"/>
    <mergeCell ref="B7:B10"/>
    <mergeCell ref="C7:C10"/>
    <mergeCell ref="D7:D10"/>
    <mergeCell ref="E7:E10"/>
    <mergeCell ref="F5:F6"/>
    <mergeCell ref="O12:P12"/>
    <mergeCell ref="A1:B1"/>
    <mergeCell ref="C1:AD1"/>
    <mergeCell ref="A5:A6"/>
    <mergeCell ref="B5:B6"/>
    <mergeCell ref="C5:C6"/>
    <mergeCell ref="D5:D6"/>
    <mergeCell ref="AD5:AG5"/>
    <mergeCell ref="H5:H6"/>
    <mergeCell ref="I5:I6"/>
    <mergeCell ref="L5:L6"/>
    <mergeCell ref="E5:E6"/>
    <mergeCell ref="J5:J6"/>
    <mergeCell ref="K5:K6"/>
    <mergeCell ref="AE1:AG2"/>
    <mergeCell ref="AC11:AC12"/>
    <mergeCell ref="A11:L11"/>
    <mergeCell ref="Y5:AC5"/>
    <mergeCell ref="T11:T12"/>
    <mergeCell ref="X11:X12"/>
    <mergeCell ref="V5:V6"/>
    <mergeCell ref="N5:N6"/>
    <mergeCell ref="O5:O6"/>
    <mergeCell ref="R5:R6"/>
    <mergeCell ref="S5:S6"/>
    <mergeCell ref="W5:W6"/>
    <mergeCell ref="P5:P6"/>
    <mergeCell ref="T5:T6"/>
    <mergeCell ref="X5:X6"/>
    <mergeCell ref="F7:F10"/>
    <mergeCell ref="G5:G6"/>
    <mergeCell ref="A7:A10"/>
  </mergeCells>
  <conditionalFormatting sqref="AC11 Y7:AC9">
    <cfRule type="cellIs" dxfId="53" priority="4" operator="lessThan">
      <formula>0.6</formula>
    </cfRule>
    <cfRule type="cellIs" dxfId="52" priority="5" operator="between">
      <formula>60%</formula>
      <formula>79%</formula>
    </cfRule>
    <cfRule type="cellIs" dxfId="51" priority="6" operator="between">
      <formula>80%</formula>
      <formula>100%</formula>
    </cfRule>
  </conditionalFormatting>
  <conditionalFormatting sqref="Y10:AC10">
    <cfRule type="cellIs" dxfId="50" priority="1" operator="lessThan">
      <formula>0.6</formula>
    </cfRule>
    <cfRule type="cellIs" dxfId="49" priority="2" operator="between">
      <formula>60%</formula>
      <formula>79%</formula>
    </cfRule>
    <cfRule type="cellIs" dxfId="48" priority="3" operator="between">
      <formula>80%</formula>
      <formula>100%</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20"/>
  <sheetViews>
    <sheetView topLeftCell="A2" zoomScale="70" zoomScaleNormal="70" workbookViewId="0">
      <selection activeCell="P4" sqref="P1:Y1048576"/>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4.42578125" customWidth="1"/>
    <col min="7" max="7" width="30.5703125" customWidth="1"/>
    <col min="8" max="8" width="41" customWidth="1"/>
    <col min="9" max="9" width="16.5703125" customWidth="1"/>
    <col min="10" max="10" width="19.42578125" customWidth="1"/>
    <col min="11" max="11" width="25.7109375" style="384" customWidth="1"/>
    <col min="12" max="12" width="16.5703125" customWidth="1"/>
    <col min="13" max="13" width="19.42578125" customWidth="1"/>
    <col min="14" max="14" width="26.7109375" customWidth="1"/>
    <col min="15" max="15" width="31.7109375" customWidth="1"/>
    <col min="16" max="16" width="25.140625" customWidth="1"/>
    <col min="17" max="17" width="26.42578125" style="49" customWidth="1"/>
    <col min="18" max="18" width="22.140625" customWidth="1"/>
    <col min="19" max="19" width="19.42578125" customWidth="1"/>
    <col min="20" max="20" width="28.85546875" customWidth="1"/>
    <col min="21" max="21" width="21.85546875" customWidth="1"/>
    <col min="22" max="23" width="19.42578125" customWidth="1"/>
    <col min="24" max="24" width="28.85546875" customWidth="1"/>
    <col min="25" max="25" width="21.85546875" customWidth="1"/>
    <col min="26" max="26" width="19.42578125" customWidth="1"/>
    <col min="27" max="31" width="17.7109375" customWidth="1"/>
    <col min="32" max="35" width="26.5703125" customWidth="1"/>
  </cols>
  <sheetData>
    <row r="1" spans="1:35"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612"/>
      <c r="AH1" s="612"/>
      <c r="AI1" s="612"/>
    </row>
    <row r="2" spans="1:35"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612"/>
      <c r="AH2" s="612"/>
      <c r="AI2" s="612"/>
    </row>
    <row r="3" spans="1:35"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613" t="s">
        <v>772</v>
      </c>
      <c r="AH3" s="613"/>
      <c r="AI3" s="613"/>
    </row>
    <row r="4" spans="1:35" ht="15.75" thickBot="1" x14ac:dyDescent="0.3">
      <c r="A4" s="627" t="s">
        <v>193</v>
      </c>
      <c r="B4" s="627"/>
      <c r="C4" s="627"/>
      <c r="D4" s="627"/>
      <c r="E4" s="29"/>
      <c r="F4" s="38"/>
      <c r="G4" s="29"/>
      <c r="H4" s="29"/>
      <c r="I4" s="29"/>
      <c r="J4" s="29"/>
      <c r="K4" s="29"/>
      <c r="L4" s="29"/>
      <c r="M4" s="56"/>
      <c r="N4" s="29"/>
      <c r="O4" s="29"/>
      <c r="P4" s="29"/>
      <c r="Q4" s="61"/>
      <c r="R4" s="29"/>
      <c r="S4" s="56"/>
      <c r="T4" s="29"/>
      <c r="U4" s="29"/>
      <c r="V4" s="29"/>
      <c r="W4" s="56"/>
      <c r="X4" s="29"/>
      <c r="Y4" s="29"/>
      <c r="Z4" s="29"/>
      <c r="AA4" s="29"/>
      <c r="AB4" s="29"/>
      <c r="AC4" s="29"/>
      <c r="AD4" s="29"/>
      <c r="AE4" s="29"/>
      <c r="AF4" s="29"/>
      <c r="AG4" s="29"/>
      <c r="AH4" s="29"/>
      <c r="AI4" s="29"/>
    </row>
    <row r="5" spans="1:35" ht="57" customHeight="1" x14ac:dyDescent="0.25">
      <c r="A5" s="606" t="s">
        <v>1</v>
      </c>
      <c r="B5" s="594" t="s">
        <v>3</v>
      </c>
      <c r="C5" s="594" t="s">
        <v>194</v>
      </c>
      <c r="D5" s="594" t="s">
        <v>195</v>
      </c>
      <c r="E5" s="594" t="s">
        <v>196</v>
      </c>
      <c r="F5" s="642" t="s">
        <v>742</v>
      </c>
      <c r="G5" s="594" t="s">
        <v>803</v>
      </c>
      <c r="H5" s="594" t="s">
        <v>227</v>
      </c>
      <c r="I5" s="594" t="s">
        <v>8</v>
      </c>
      <c r="J5" s="594" t="s">
        <v>495</v>
      </c>
      <c r="K5" s="594" t="s">
        <v>519</v>
      </c>
      <c r="L5" s="717" t="s">
        <v>9</v>
      </c>
      <c r="M5" s="199" t="s">
        <v>321</v>
      </c>
      <c r="N5" s="676" t="s">
        <v>421</v>
      </c>
      <c r="O5" s="610" t="s">
        <v>423</v>
      </c>
      <c r="P5" s="608" t="s">
        <v>488</v>
      </c>
      <c r="Q5" s="199" t="s">
        <v>321</v>
      </c>
      <c r="R5" s="676" t="s">
        <v>421</v>
      </c>
      <c r="S5" s="610" t="s">
        <v>423</v>
      </c>
      <c r="T5" s="608" t="s">
        <v>491</v>
      </c>
      <c r="U5" s="199" t="s">
        <v>321</v>
      </c>
      <c r="V5" s="676" t="s">
        <v>421</v>
      </c>
      <c r="W5" s="610" t="s">
        <v>423</v>
      </c>
      <c r="X5" s="608" t="s">
        <v>493</v>
      </c>
      <c r="Y5" s="652" t="s">
        <v>11</v>
      </c>
      <c r="Z5" s="653"/>
      <c r="AA5" s="653"/>
      <c r="AB5" s="653"/>
      <c r="AC5" s="654"/>
      <c r="AD5" s="624" t="s">
        <v>557</v>
      </c>
      <c r="AE5" s="625"/>
      <c r="AF5" s="625"/>
      <c r="AG5" s="626"/>
    </row>
    <row r="6" spans="1:35" ht="57" customHeight="1" x14ac:dyDescent="0.25">
      <c r="A6" s="607"/>
      <c r="B6" s="535"/>
      <c r="C6" s="535"/>
      <c r="D6" s="535"/>
      <c r="E6" s="535"/>
      <c r="F6" s="643"/>
      <c r="G6" s="535"/>
      <c r="H6" s="535"/>
      <c r="I6" s="535"/>
      <c r="J6" s="535"/>
      <c r="K6" s="535"/>
      <c r="L6" s="718"/>
      <c r="M6" s="163" t="s">
        <v>299</v>
      </c>
      <c r="N6" s="677"/>
      <c r="O6" s="611"/>
      <c r="P6" s="609"/>
      <c r="Q6" s="163" t="s">
        <v>288</v>
      </c>
      <c r="R6" s="677"/>
      <c r="S6" s="611"/>
      <c r="T6" s="609"/>
      <c r="U6" s="163" t="s">
        <v>313</v>
      </c>
      <c r="V6" s="677"/>
      <c r="W6" s="611"/>
      <c r="X6" s="609"/>
      <c r="Y6" s="176" t="s">
        <v>198</v>
      </c>
      <c r="Z6" s="5" t="s">
        <v>199</v>
      </c>
      <c r="AA6" s="5" t="s">
        <v>200</v>
      </c>
      <c r="AB6" s="5" t="s">
        <v>201</v>
      </c>
      <c r="AC6" s="177" t="s">
        <v>20</v>
      </c>
      <c r="AD6" s="181" t="s">
        <v>202</v>
      </c>
      <c r="AE6" s="33" t="s">
        <v>203</v>
      </c>
      <c r="AF6" s="33" t="s">
        <v>204</v>
      </c>
      <c r="AG6" s="182" t="s">
        <v>205</v>
      </c>
    </row>
    <row r="7" spans="1:35" ht="114.75" customHeight="1" x14ac:dyDescent="0.25">
      <c r="A7" s="721" t="s">
        <v>76</v>
      </c>
      <c r="B7" s="722" t="s">
        <v>312</v>
      </c>
      <c r="C7" s="722" t="s">
        <v>215</v>
      </c>
      <c r="D7" s="722" t="s">
        <v>85</v>
      </c>
      <c r="E7" s="722" t="s">
        <v>344</v>
      </c>
      <c r="F7" s="692">
        <f>+'PLAN DESARROLLO'!E14</f>
        <v>0.6</v>
      </c>
      <c r="G7" s="504" t="s">
        <v>804</v>
      </c>
      <c r="H7" s="84" t="s">
        <v>805</v>
      </c>
      <c r="I7" s="57">
        <v>1</v>
      </c>
      <c r="J7" s="57" t="s">
        <v>496</v>
      </c>
      <c r="K7" s="84" t="s">
        <v>830</v>
      </c>
      <c r="L7" s="723" t="s">
        <v>321</v>
      </c>
      <c r="M7" s="164"/>
      <c r="N7" s="57"/>
      <c r="O7" s="57"/>
      <c r="P7" s="165" t="str">
        <f>+IFERROR(AVERAGE(M7:M7),"-")</f>
        <v>-</v>
      </c>
      <c r="Q7" s="164"/>
      <c r="R7" s="57"/>
      <c r="S7" s="57"/>
      <c r="T7" s="165" t="str">
        <f>+IFERROR(AVERAGE(Q7:Q7),"-")</f>
        <v>-</v>
      </c>
      <c r="U7" s="164"/>
      <c r="V7" s="57"/>
      <c r="W7" s="57"/>
      <c r="X7" s="165" t="str">
        <f>+IFERROR(AVERAGE(U7:U7),"-")</f>
        <v>-</v>
      </c>
      <c r="Y7" s="178" t="s">
        <v>226</v>
      </c>
      <c r="Z7" s="26" t="str">
        <f>IFERROR((P7*100%)/I7,"-")</f>
        <v>-</v>
      </c>
      <c r="AA7" s="26" t="str">
        <f>IFERROR((T7*100%)/1,"-")</f>
        <v>-</v>
      </c>
      <c r="AB7" s="26" t="str">
        <f>IFERROR((X7*100%)/1,"-")</f>
        <v>-</v>
      </c>
      <c r="AC7" s="179" t="str">
        <f>IFERROR(AVERAGE(Y7:AB7),"-")</f>
        <v>-</v>
      </c>
      <c r="AD7" s="183"/>
      <c r="AE7" s="35"/>
      <c r="AF7" s="36"/>
      <c r="AG7" s="184"/>
    </row>
    <row r="8" spans="1:35" ht="114.75" customHeight="1" x14ac:dyDescent="0.25">
      <c r="A8" s="697"/>
      <c r="B8" s="696"/>
      <c r="C8" s="696"/>
      <c r="D8" s="696"/>
      <c r="E8" s="696"/>
      <c r="F8" s="693"/>
      <c r="G8" s="222" t="s">
        <v>836</v>
      </c>
      <c r="H8" s="84" t="s">
        <v>806</v>
      </c>
      <c r="I8" s="57">
        <v>0.9</v>
      </c>
      <c r="J8" s="57" t="s">
        <v>496</v>
      </c>
      <c r="K8" s="84" t="s">
        <v>831</v>
      </c>
      <c r="L8" s="724"/>
      <c r="M8" s="164"/>
      <c r="N8" s="57"/>
      <c r="O8" s="57"/>
      <c r="P8" s="165" t="str">
        <f>+IFERROR(AVERAGE(M8:M8),"-")</f>
        <v>-</v>
      </c>
      <c r="Q8" s="164"/>
      <c r="R8" s="57"/>
      <c r="S8" s="57"/>
      <c r="T8" s="165" t="str">
        <f>+IFERROR(AVERAGE(Q8:Q8),"-")</f>
        <v>-</v>
      </c>
      <c r="U8" s="164"/>
      <c r="V8" s="57"/>
      <c r="W8" s="57"/>
      <c r="X8" s="165" t="str">
        <f>+IFERROR(AVERAGE(U8:U8),"-")</f>
        <v>-</v>
      </c>
      <c r="Y8" s="178" t="s">
        <v>226</v>
      </c>
      <c r="Z8" s="26" t="str">
        <f>IFERROR((P8*100%)/I8,"-")</f>
        <v>-</v>
      </c>
      <c r="AA8" s="26" t="str">
        <f>IFERROR((T8*100%)/1,"-")</f>
        <v>-</v>
      </c>
      <c r="AB8" s="26" t="str">
        <f>IFERROR((X8*100%)/1,"-")</f>
        <v>-</v>
      </c>
      <c r="AC8" s="179" t="str">
        <f>IFERROR(AVERAGE(Y8:AB8),"-")</f>
        <v>-</v>
      </c>
      <c r="AD8" s="183"/>
      <c r="AE8" s="35"/>
      <c r="AF8" s="36"/>
      <c r="AG8" s="184"/>
    </row>
    <row r="9" spans="1:35" ht="108.75" customHeight="1" x14ac:dyDescent="0.25">
      <c r="A9" s="697"/>
      <c r="B9" s="696"/>
      <c r="C9" s="696"/>
      <c r="D9" s="696"/>
      <c r="E9" s="696"/>
      <c r="F9" s="693"/>
      <c r="G9" s="160" t="s">
        <v>832</v>
      </c>
      <c r="H9" s="83" t="s">
        <v>833</v>
      </c>
      <c r="I9" s="57">
        <v>1</v>
      </c>
      <c r="J9" s="57" t="s">
        <v>496</v>
      </c>
      <c r="K9" s="84" t="s">
        <v>702</v>
      </c>
      <c r="L9" s="724"/>
      <c r="M9" s="164"/>
      <c r="N9" s="57"/>
      <c r="O9" s="57"/>
      <c r="P9" s="165" t="str">
        <f>+IFERROR(AVERAGE(M9:M9),"-")</f>
        <v>-</v>
      </c>
      <c r="Q9" s="164"/>
      <c r="R9" s="57"/>
      <c r="S9" s="7"/>
      <c r="T9" s="165" t="str">
        <f>+IFERROR(AVERAGE(Q9:Q9),"-")</f>
        <v>-</v>
      </c>
      <c r="U9" s="164"/>
      <c r="V9" s="7"/>
      <c r="W9" s="7"/>
      <c r="X9" s="165" t="str">
        <f>+IFERROR(AVERAGE(U9:U9),"-")</f>
        <v>-</v>
      </c>
      <c r="Y9" s="178" t="s">
        <v>226</v>
      </c>
      <c r="Z9" s="26" t="str">
        <f>IFERROR((P9*100%)/I9,"-")</f>
        <v>-</v>
      </c>
      <c r="AA9" s="26" t="str">
        <f>IFERROR((T9*100%)/1,"-")</f>
        <v>-</v>
      </c>
      <c r="AB9" s="26" t="str">
        <f>IFERROR((X9*100%)/1,"-")</f>
        <v>-</v>
      </c>
      <c r="AC9" s="179" t="str">
        <f t="shared" ref="AC9:AC10" si="0">IFERROR(AVERAGE(Y9:AB9),"-")</f>
        <v>-</v>
      </c>
      <c r="AD9" s="183"/>
      <c r="AE9" s="35"/>
      <c r="AF9" s="36"/>
      <c r="AG9" s="184"/>
    </row>
    <row r="10" spans="1:35" ht="129.75" customHeight="1" x14ac:dyDescent="0.25">
      <c r="A10" s="697"/>
      <c r="B10" s="696"/>
      <c r="C10" s="696"/>
      <c r="D10" s="696"/>
      <c r="E10" s="696"/>
      <c r="F10" s="693"/>
      <c r="G10" s="160" t="s">
        <v>834</v>
      </c>
      <c r="H10" s="83" t="s">
        <v>807</v>
      </c>
      <c r="I10" s="57">
        <v>1</v>
      </c>
      <c r="J10" s="57" t="s">
        <v>496</v>
      </c>
      <c r="K10" s="84" t="s">
        <v>702</v>
      </c>
      <c r="L10" s="725"/>
      <c r="M10" s="164"/>
      <c r="N10" s="55"/>
      <c r="O10" s="57"/>
      <c r="P10" s="165" t="str">
        <f>+IFERROR(AVERAGE(M10:M10),"-")</f>
        <v>-</v>
      </c>
      <c r="Q10" s="164"/>
      <c r="R10" s="55"/>
      <c r="S10" s="7"/>
      <c r="T10" s="165" t="str">
        <f>+IFERROR(AVERAGE(Q10:Q10),"-")</f>
        <v>-</v>
      </c>
      <c r="U10" s="164"/>
      <c r="V10" s="55"/>
      <c r="W10" s="7"/>
      <c r="X10" s="165" t="str">
        <f>+IFERROR(AVERAGE(U10:U10),"-")</f>
        <v>-</v>
      </c>
      <c r="Y10" s="178" t="s">
        <v>226</v>
      </c>
      <c r="Z10" s="26" t="str">
        <f>IFERROR((P10*100%)/I10,"-")</f>
        <v>-</v>
      </c>
      <c r="AA10" s="26" t="str">
        <f>IFERROR((T10*100%)/1,"-")</f>
        <v>-</v>
      </c>
      <c r="AB10" s="26" t="str">
        <f>IFERROR((X10*100%)/1,"-")</f>
        <v>-</v>
      </c>
      <c r="AC10" s="179" t="str">
        <f t="shared" si="0"/>
        <v>-</v>
      </c>
      <c r="AD10" s="183"/>
      <c r="AE10" s="35"/>
      <c r="AF10" s="36"/>
      <c r="AG10" s="184"/>
    </row>
    <row r="11" spans="1:35" ht="26.25" thickBot="1" x14ac:dyDescent="0.3">
      <c r="A11" s="596" t="s">
        <v>294</v>
      </c>
      <c r="B11" s="597"/>
      <c r="C11" s="597"/>
      <c r="D11" s="597"/>
      <c r="E11" s="597"/>
      <c r="F11" s="597"/>
      <c r="G11" s="597"/>
      <c r="H11" s="597"/>
      <c r="I11" s="597"/>
      <c r="J11" s="597"/>
      <c r="K11" s="597"/>
      <c r="L11" s="598"/>
      <c r="M11" s="360" t="str">
        <f>IFERROR(AVERAGE(M7:M10),"-")</f>
        <v>-</v>
      </c>
      <c r="N11" s="259"/>
      <c r="O11" s="250"/>
      <c r="P11" s="616" t="str">
        <f>IFERROR(AVERAGE(P7:P10),"-")</f>
        <v>-</v>
      </c>
      <c r="Q11" s="192" t="str">
        <f>IFERROR(AVERAGE(Q7:Q10),"-")</f>
        <v>-</v>
      </c>
      <c r="R11" s="259"/>
      <c r="S11" s="250"/>
      <c r="T11" s="616" t="str">
        <f>IFERROR(AVERAGE(T7:T10),"-")</f>
        <v>-</v>
      </c>
      <c r="U11" s="192" t="str">
        <f>IFERROR(AVERAGE(U7:U10),"-")</f>
        <v>-</v>
      </c>
      <c r="V11" s="259"/>
      <c r="W11" s="250"/>
      <c r="X11" s="616" t="str">
        <f t="shared" ref="X11:AC11" si="1">IFERROR(AVERAGE(X7:X10),"-")</f>
        <v>-</v>
      </c>
      <c r="Y11" s="192" t="str">
        <f t="shared" si="1"/>
        <v>-</v>
      </c>
      <c r="Z11" s="193" t="str">
        <f t="shared" si="1"/>
        <v>-</v>
      </c>
      <c r="AA11" s="193" t="str">
        <f t="shared" si="1"/>
        <v>-</v>
      </c>
      <c r="AB11" s="59" t="str">
        <f t="shared" si="1"/>
        <v>-</v>
      </c>
      <c r="AC11" s="719" t="str">
        <f t="shared" si="1"/>
        <v>-</v>
      </c>
      <c r="AD11" s="187"/>
      <c r="AE11" s="188"/>
      <c r="AF11" s="189"/>
      <c r="AG11" s="190"/>
    </row>
    <row r="12" spans="1:35" ht="27" thickBot="1" x14ac:dyDescent="0.3">
      <c r="A12" s="29"/>
      <c r="B12" s="29"/>
      <c r="C12" s="29"/>
      <c r="D12" s="29"/>
      <c r="E12" s="29"/>
      <c r="F12" s="38"/>
      <c r="G12" s="29"/>
      <c r="H12" s="29"/>
      <c r="I12" s="29"/>
      <c r="J12" s="29"/>
      <c r="K12" s="29"/>
      <c r="L12" s="29"/>
      <c r="M12" s="219"/>
      <c r="N12" s="202"/>
      <c r="O12" s="209" t="s">
        <v>296</v>
      </c>
      <c r="P12" s="617"/>
      <c r="Q12" s="217"/>
      <c r="R12" s="202"/>
      <c r="S12" s="209" t="s">
        <v>510</v>
      </c>
      <c r="T12" s="617"/>
      <c r="U12" s="217"/>
      <c r="V12" s="202"/>
      <c r="W12" s="208" t="s">
        <v>298</v>
      </c>
      <c r="X12" s="617"/>
      <c r="Y12" s="194"/>
      <c r="Z12" s="195"/>
      <c r="AA12" s="196"/>
      <c r="AB12" s="180" t="s">
        <v>295</v>
      </c>
      <c r="AC12" s="720"/>
      <c r="AD12" s="29"/>
      <c r="AE12" s="29"/>
      <c r="AF12" s="29"/>
      <c r="AG12" s="29"/>
    </row>
    <row r="15" spans="1:35" ht="45" x14ac:dyDescent="0.25">
      <c r="G15" s="649" t="s">
        <v>580</v>
      </c>
      <c r="H15" s="649"/>
      <c r="I15" s="649"/>
      <c r="J15" s="649"/>
      <c r="K15" s="295" t="s">
        <v>577</v>
      </c>
      <c r="L15" s="313" t="s">
        <v>584</v>
      </c>
      <c r="M15" s="296" t="s">
        <v>582</v>
      </c>
      <c r="N15" s="296" t="s">
        <v>583</v>
      </c>
      <c r="O15" s="297" t="s">
        <v>581</v>
      </c>
      <c r="Q15" s="296" t="s">
        <v>582</v>
      </c>
      <c r="R15" s="296" t="s">
        <v>808</v>
      </c>
      <c r="S15" s="296" t="s">
        <v>583</v>
      </c>
      <c r="T15" s="297" t="s">
        <v>581</v>
      </c>
      <c r="U15" s="453"/>
      <c r="V15" s="296" t="s">
        <v>582</v>
      </c>
      <c r="W15" s="296" t="s">
        <v>809</v>
      </c>
      <c r="X15" s="296" t="s">
        <v>808</v>
      </c>
      <c r="Y15" s="296" t="s">
        <v>583</v>
      </c>
      <c r="Z15" s="297" t="s">
        <v>581</v>
      </c>
      <c r="AA15" s="297" t="s">
        <v>736</v>
      </c>
    </row>
    <row r="16" spans="1:35" x14ac:dyDescent="0.25">
      <c r="G16" s="726" t="str">
        <f>+G7</f>
        <v>Línea base del programa de prevención de daño antijurídico HUSRT</v>
      </c>
      <c r="H16" s="727"/>
      <c r="I16" s="727"/>
      <c r="J16" s="728"/>
      <c r="K16" s="330">
        <f>+I7</f>
        <v>1</v>
      </c>
      <c r="L16" s="729">
        <f>+F7</f>
        <v>0.6</v>
      </c>
      <c r="M16" s="330" t="str">
        <f>+P7</f>
        <v>-</v>
      </c>
      <c r="N16" s="330" t="str">
        <f>IFERROR((M16*100%)/K16,"-")</f>
        <v>-</v>
      </c>
      <c r="O16" s="587">
        <f>+L16</f>
        <v>0.6</v>
      </c>
      <c r="Q16" s="330" t="str">
        <f>+T7</f>
        <v>-</v>
      </c>
      <c r="R16" s="330" t="str">
        <f>+M16</f>
        <v>-</v>
      </c>
      <c r="S16" s="330" t="str">
        <f>IFERROR(IF(AVERAGE(Q16,R16)&gt;=1,1,(AVERAGE(Q16,R16)*100%)/1),"-")</f>
        <v>-</v>
      </c>
      <c r="T16" s="332" t="str">
        <f>IFERROR(+IF(S16=100%,L16,(+S16*L16)),"-")</f>
        <v>-</v>
      </c>
      <c r="U16" s="731"/>
      <c r="V16" s="330" t="str">
        <f>+X7</f>
        <v>-</v>
      </c>
      <c r="W16" s="330" t="str">
        <f t="shared" ref="W16:X19" si="2">+Q16</f>
        <v>-</v>
      </c>
      <c r="X16" s="330" t="str">
        <f t="shared" si="2"/>
        <v>-</v>
      </c>
      <c r="Y16" s="330" t="str">
        <f>IFERROR(IF(AVERAGE(V16:X16)&gt;=1,1,(AVERAGE(V16:X16)*100%)/1),"-")</f>
        <v>-</v>
      </c>
      <c r="Z16" s="332" t="str">
        <f>IFERROR(+IF(Y16=100%,L16,(+Y16*L16)),"-")</f>
        <v>-</v>
      </c>
      <c r="AA16" s="730" t="str">
        <f>+Z19</f>
        <v>-</v>
      </c>
    </row>
    <row r="17" spans="7:27" x14ac:dyDescent="0.25">
      <c r="G17" s="726" t="str">
        <f>+G8</f>
        <v>Cumplimiento actividades del programa de gestión del riesgo y prevención de daño antijurídico contenidas en el manual de daño antijurídico</v>
      </c>
      <c r="H17" s="727"/>
      <c r="I17" s="727"/>
      <c r="J17" s="728"/>
      <c r="K17" s="330">
        <f>+I8</f>
        <v>0.9</v>
      </c>
      <c r="L17" s="729"/>
      <c r="M17" s="330" t="str">
        <f>+P8</f>
        <v>-</v>
      </c>
      <c r="N17" s="330" t="str">
        <f>IFERROR((M17*100%)/K17,"-")</f>
        <v>-</v>
      </c>
      <c r="O17" s="587"/>
      <c r="Q17" s="330" t="str">
        <f>+T8</f>
        <v>-</v>
      </c>
      <c r="R17" s="330" t="str">
        <f>+M17</f>
        <v>-</v>
      </c>
      <c r="S17" s="330" t="str">
        <f>IFERROR(IF(AVERAGE(Q17,R17)&gt;=1,1,(AVERAGE(Q17,R17)*100%)/1),"-")</f>
        <v>-</v>
      </c>
      <c r="T17" s="332" t="str">
        <f>IFERROR(+IF(S17=100%,L17,(+S17*L17)),"-")</f>
        <v>-</v>
      </c>
      <c r="U17" s="731"/>
      <c r="V17" s="330" t="str">
        <f t="shared" ref="V17:V19" si="3">+X8</f>
        <v>-</v>
      </c>
      <c r="W17" s="330" t="str">
        <f t="shared" si="2"/>
        <v>-</v>
      </c>
      <c r="X17" s="330" t="str">
        <f t="shared" si="2"/>
        <v>-</v>
      </c>
      <c r="Y17" s="330" t="str">
        <f>IFERROR(IF(AVERAGE(V17:X17)&gt;=0.9,1,(AVERAGE(V17:X17)*100%)/0.9),"-")</f>
        <v>-</v>
      </c>
      <c r="Z17" s="332" t="str">
        <f>IFERROR(+IF(Y17=100%,L17,(+Y17*L17)),"-")</f>
        <v>-</v>
      </c>
      <c r="AA17" s="730"/>
    </row>
    <row r="18" spans="7:27" x14ac:dyDescent="0.25">
      <c r="G18" s="726" t="str">
        <f>+G9</f>
        <v xml:space="preserve">Medición del mpacto de adherencia a guías, en relación con los servicios mayormente involucrados, conforme a la variación de la línea base del programa </v>
      </c>
      <c r="H18" s="727"/>
      <c r="I18" s="727"/>
      <c r="J18" s="728"/>
      <c r="K18" s="330">
        <f>+I9</f>
        <v>1</v>
      </c>
      <c r="L18" s="729"/>
      <c r="M18" s="330" t="str">
        <f>+P9</f>
        <v>-</v>
      </c>
      <c r="N18" s="330" t="str">
        <f t="shared" ref="N18:N19" si="4">IFERROR((M18*100%)/K18,"-")</f>
        <v>-</v>
      </c>
      <c r="O18" s="587"/>
      <c r="Q18" s="330" t="str">
        <f>+T9</f>
        <v>-</v>
      </c>
      <c r="R18" s="330" t="str">
        <f>+M18</f>
        <v>-</v>
      </c>
      <c r="S18" s="330" t="str">
        <f>IFERROR(IF(AVERAGE(Q18,R18)&gt;=1,1,(AVERAGE(Q18,R18)*100%)/1),"-")</f>
        <v>-</v>
      </c>
      <c r="T18" s="332" t="str">
        <f>IFERROR(+IF(S18=100%,L18,(+S18*L18)),"-")</f>
        <v>-</v>
      </c>
      <c r="U18" s="731"/>
      <c r="V18" s="330" t="str">
        <f t="shared" si="3"/>
        <v>-</v>
      </c>
      <c r="W18" s="330" t="str">
        <f t="shared" si="2"/>
        <v>-</v>
      </c>
      <c r="X18" s="330" t="str">
        <f t="shared" si="2"/>
        <v>-</v>
      </c>
      <c r="Y18" s="330" t="str">
        <f>IFERROR(IF(AVERAGE(V18:X18)&gt;=1,1,(AVERAGE(V18:X18)*100%)/1),"-")</f>
        <v>-</v>
      </c>
      <c r="Z18" s="332" t="str">
        <f>IFERROR(+IF(Y18=100%,L18,(+Y18*L18)),"-")</f>
        <v>-</v>
      </c>
      <c r="AA18" s="730"/>
    </row>
    <row r="19" spans="7:27" x14ac:dyDescent="0.25">
      <c r="G19" s="726" t="str">
        <f>+G10</f>
        <v xml:space="preserve">Medición del impacto de la gestión de eventos adversos, en relación con los servicios mayormente involucrados, conforme a la variación de línea base del programa </v>
      </c>
      <c r="H19" s="727"/>
      <c r="I19" s="727"/>
      <c r="J19" s="728"/>
      <c r="K19" s="330">
        <f>+I10</f>
        <v>1</v>
      </c>
      <c r="L19" s="729"/>
      <c r="M19" s="330" t="str">
        <f>+P10</f>
        <v>-</v>
      </c>
      <c r="N19" s="330" t="str">
        <f t="shared" si="4"/>
        <v>-</v>
      </c>
      <c r="O19" s="587"/>
      <c r="Q19" s="330" t="str">
        <f>+T10</f>
        <v>-</v>
      </c>
      <c r="R19" s="330" t="str">
        <f>+M19</f>
        <v>-</v>
      </c>
      <c r="S19" s="330" t="str">
        <f>IFERROR(IF(AVERAGE(Q19,R19)&gt;=1,1,(AVERAGE(Q19,R19)*100%)/1),"-")</f>
        <v>-</v>
      </c>
      <c r="T19" s="332" t="str">
        <f>IFERROR(+IF(S19=100%,L19,(+S19*L19)),"-")</f>
        <v>-</v>
      </c>
      <c r="V19" s="330" t="str">
        <f t="shared" si="3"/>
        <v>-</v>
      </c>
      <c r="W19" s="330" t="str">
        <f t="shared" si="2"/>
        <v>-</v>
      </c>
      <c r="X19" s="330" t="str">
        <f t="shared" si="2"/>
        <v>-</v>
      </c>
      <c r="Y19" s="330" t="str">
        <f>IFERROR(IF(AVERAGE(V19:X19)&gt;=1,1,(AVERAGE(V19:X19)*100%)/1),"-")</f>
        <v>-</v>
      </c>
      <c r="Z19" s="332" t="str">
        <f>IFERROR(+IF(Y19=100%,L19,(+Y19*L19)),"-")</f>
        <v>-</v>
      </c>
      <c r="AA19" s="730"/>
    </row>
    <row r="20" spans="7:27" x14ac:dyDescent="0.25">
      <c r="J20" s="384"/>
      <c r="K20"/>
      <c r="M20" s="298" t="e">
        <f>+AVERAGE(M16:M19)</f>
        <v>#DIV/0!</v>
      </c>
    </row>
  </sheetData>
  <mergeCells count="51">
    <mergeCell ref="G19:J19"/>
    <mergeCell ref="L16:L19"/>
    <mergeCell ref="O16:O19"/>
    <mergeCell ref="AA16:AA19"/>
    <mergeCell ref="G15:J15"/>
    <mergeCell ref="G16:J16"/>
    <mergeCell ref="G17:J17"/>
    <mergeCell ref="G18:J18"/>
    <mergeCell ref="U16:U18"/>
    <mergeCell ref="P11:P12"/>
    <mergeCell ref="T11:T12"/>
    <mergeCell ref="X11:X12"/>
    <mergeCell ref="AC11:AC12"/>
    <mergeCell ref="A7:A10"/>
    <mergeCell ref="B7:B10"/>
    <mergeCell ref="C7:C10"/>
    <mergeCell ref="D7:D10"/>
    <mergeCell ref="E7:E10"/>
    <mergeCell ref="A11:L11"/>
    <mergeCell ref="F7:F10"/>
    <mergeCell ref="L7:L10"/>
    <mergeCell ref="A5:A6"/>
    <mergeCell ref="B5:B6"/>
    <mergeCell ref="C5:C6"/>
    <mergeCell ref="D5:D6"/>
    <mergeCell ref="T5:T6"/>
    <mergeCell ref="F5:F6"/>
    <mergeCell ref="G5:G6"/>
    <mergeCell ref="I5:I6"/>
    <mergeCell ref="S5:S6"/>
    <mergeCell ref="R5:R6"/>
    <mergeCell ref="P5:P6"/>
    <mergeCell ref="L5:L6"/>
    <mergeCell ref="K5:K6"/>
    <mergeCell ref="O5:O6"/>
    <mergeCell ref="A1:B1"/>
    <mergeCell ref="C1:AF1"/>
    <mergeCell ref="X5:X6"/>
    <mergeCell ref="Y5:AC5"/>
    <mergeCell ref="AD5:AG5"/>
    <mergeCell ref="V5:V6"/>
    <mergeCell ref="W5:W6"/>
    <mergeCell ref="AG1:AI2"/>
    <mergeCell ref="A2:B3"/>
    <mergeCell ref="C2:AF3"/>
    <mergeCell ref="AG3:AI3"/>
    <mergeCell ref="H5:H6"/>
    <mergeCell ref="E5:E6"/>
    <mergeCell ref="J5:J6"/>
    <mergeCell ref="N5:N6"/>
    <mergeCell ref="A4:D4"/>
  </mergeCells>
  <conditionalFormatting sqref="AC11 Y7:AC10">
    <cfRule type="cellIs" dxfId="47" priority="1" operator="lessThan">
      <formula>0.6</formula>
    </cfRule>
    <cfRule type="cellIs" dxfId="46" priority="2" operator="between">
      <formula>60%</formula>
      <formula>79%</formula>
    </cfRule>
    <cfRule type="cellIs" dxfId="45" priority="3" operator="between">
      <formula>80%</formula>
      <formula>100%</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W9"/>
  <sheetViews>
    <sheetView zoomScale="70" zoomScaleNormal="70" workbookViewId="0">
      <selection activeCell="AF13" sqref="AF13"/>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140625" customWidth="1"/>
    <col min="7" max="7" width="14" customWidth="1"/>
    <col min="8" max="8" width="25.28515625" customWidth="1"/>
    <col min="9" max="11" width="14.42578125" customWidth="1"/>
    <col min="12" max="12" width="16.7109375" customWidth="1"/>
    <col min="13" max="28" width="19.42578125" customWidth="1"/>
    <col min="29" max="29" width="29.140625" customWidth="1"/>
    <col min="30" max="30" width="34.42578125" customWidth="1"/>
    <col min="31" max="44" width="19.42578125" customWidth="1"/>
    <col min="45" max="45" width="23.5703125" customWidth="1"/>
    <col min="46" max="63" width="19.42578125" customWidth="1"/>
    <col min="64" max="64" width="23.5703125" customWidth="1"/>
    <col min="65" max="66" width="19.42578125" customWidth="1"/>
    <col min="67" max="71" width="17.7109375" customWidth="1"/>
    <col min="72" max="75" width="26.5703125" customWidth="1"/>
  </cols>
  <sheetData>
    <row r="1" spans="1:75"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c r="AW1" s="593"/>
      <c r="AX1" s="593"/>
      <c r="AY1" s="593"/>
      <c r="AZ1" s="593"/>
      <c r="BA1" s="593"/>
      <c r="BB1" s="593"/>
      <c r="BC1" s="593"/>
      <c r="BD1" s="593"/>
      <c r="BE1" s="593"/>
      <c r="BF1" s="593"/>
      <c r="BG1" s="593"/>
      <c r="BH1" s="593"/>
      <c r="BI1" s="593"/>
      <c r="BJ1" s="593"/>
      <c r="BK1" s="593"/>
      <c r="BL1" s="593"/>
      <c r="BM1" s="593"/>
      <c r="BN1" s="593"/>
      <c r="BO1" s="593"/>
      <c r="BP1" s="593"/>
      <c r="BQ1" s="593"/>
      <c r="BR1" s="593"/>
      <c r="BS1" s="593"/>
      <c r="BT1" s="593"/>
      <c r="BU1" s="612"/>
      <c r="BV1" s="612"/>
      <c r="BW1" s="612"/>
    </row>
    <row r="2" spans="1:75"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593"/>
      <c r="AZ2" s="593"/>
      <c r="BA2" s="593"/>
      <c r="BB2" s="593"/>
      <c r="BC2" s="593"/>
      <c r="BD2" s="593"/>
      <c r="BE2" s="593"/>
      <c r="BF2" s="593"/>
      <c r="BG2" s="593"/>
      <c r="BH2" s="593"/>
      <c r="BI2" s="593"/>
      <c r="BJ2" s="593"/>
      <c r="BK2" s="593"/>
      <c r="BL2" s="593"/>
      <c r="BM2" s="593"/>
      <c r="BN2" s="593"/>
      <c r="BO2" s="593"/>
      <c r="BP2" s="593"/>
      <c r="BQ2" s="593"/>
      <c r="BR2" s="593"/>
      <c r="BS2" s="593"/>
      <c r="BT2" s="593"/>
      <c r="BU2" s="612"/>
      <c r="BV2" s="612"/>
      <c r="BW2" s="612"/>
    </row>
    <row r="3" spans="1:75"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593"/>
      <c r="AX3" s="593"/>
      <c r="AY3" s="593"/>
      <c r="AZ3" s="593"/>
      <c r="BA3" s="593"/>
      <c r="BB3" s="593"/>
      <c r="BC3" s="593"/>
      <c r="BD3" s="593"/>
      <c r="BE3" s="593"/>
      <c r="BF3" s="593"/>
      <c r="BG3" s="593"/>
      <c r="BH3" s="593"/>
      <c r="BI3" s="593"/>
      <c r="BJ3" s="593"/>
      <c r="BK3" s="593"/>
      <c r="BL3" s="593"/>
      <c r="BM3" s="593"/>
      <c r="BN3" s="593"/>
      <c r="BO3" s="593"/>
      <c r="BP3" s="593"/>
      <c r="BQ3" s="593"/>
      <c r="BR3" s="593"/>
      <c r="BS3" s="593"/>
      <c r="BT3" s="593"/>
      <c r="BU3" s="613" t="s">
        <v>772</v>
      </c>
      <c r="BV3" s="613"/>
      <c r="BW3" s="613"/>
    </row>
    <row r="4" spans="1:75" ht="15.75" thickBot="1" x14ac:dyDescent="0.3">
      <c r="A4" s="627" t="s">
        <v>193</v>
      </c>
      <c r="B4" s="627"/>
      <c r="C4" s="627"/>
      <c r="D4" s="627"/>
      <c r="E4" s="29"/>
      <c r="F4" s="38"/>
      <c r="G4" s="29"/>
      <c r="H4" s="29"/>
      <c r="I4" s="29"/>
      <c r="J4" s="29"/>
      <c r="K4" s="29"/>
      <c r="L4" s="29"/>
      <c r="M4" s="56"/>
      <c r="N4" s="29"/>
      <c r="O4" s="29"/>
      <c r="P4" s="29"/>
      <c r="Q4" s="29"/>
      <c r="R4" s="29"/>
      <c r="S4" s="29"/>
      <c r="T4" s="29"/>
      <c r="U4" s="29"/>
      <c r="V4" s="29"/>
      <c r="W4" s="29"/>
      <c r="X4" s="29"/>
      <c r="Y4" s="29"/>
      <c r="Z4" s="29"/>
      <c r="AA4" s="29"/>
      <c r="AB4" s="29"/>
      <c r="AC4" s="29"/>
      <c r="AD4" s="29"/>
      <c r="AE4" s="29"/>
      <c r="AF4" s="56"/>
      <c r="AG4" s="29"/>
      <c r="AH4" s="29"/>
      <c r="AI4" s="29"/>
      <c r="AJ4" s="29"/>
      <c r="AK4" s="29"/>
      <c r="AL4" s="29"/>
      <c r="AM4" s="29"/>
      <c r="AN4" s="29"/>
      <c r="AO4" s="29"/>
      <c r="AP4" s="29"/>
      <c r="AQ4" s="29"/>
      <c r="AR4" s="29"/>
      <c r="AS4" s="29"/>
      <c r="AT4" s="29"/>
      <c r="AU4" s="29"/>
      <c r="AV4" s="56"/>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row>
    <row r="5" spans="1:75" ht="57" customHeight="1" x14ac:dyDescent="0.25">
      <c r="A5" s="606" t="s">
        <v>1</v>
      </c>
      <c r="B5" s="594" t="s">
        <v>3</v>
      </c>
      <c r="C5" s="594" t="s">
        <v>194</v>
      </c>
      <c r="D5" s="594" t="s">
        <v>195</v>
      </c>
      <c r="E5" s="594" t="s">
        <v>196</v>
      </c>
      <c r="F5" s="642" t="s">
        <v>742</v>
      </c>
      <c r="G5" s="594" t="s">
        <v>228</v>
      </c>
      <c r="H5" s="594" t="s">
        <v>227</v>
      </c>
      <c r="I5" s="594" t="s">
        <v>8</v>
      </c>
      <c r="J5" s="594" t="s">
        <v>495</v>
      </c>
      <c r="K5" s="594" t="s">
        <v>554</v>
      </c>
      <c r="L5" s="640" t="s">
        <v>9</v>
      </c>
      <c r="M5" s="388" t="s">
        <v>688</v>
      </c>
      <c r="N5" s="385" t="s">
        <v>689</v>
      </c>
      <c r="O5" s="385" t="s">
        <v>690</v>
      </c>
      <c r="P5" s="385" t="s">
        <v>691</v>
      </c>
      <c r="Q5" s="385" t="s">
        <v>692</v>
      </c>
      <c r="R5" s="385" t="s">
        <v>693</v>
      </c>
      <c r="S5" s="385" t="s">
        <v>694</v>
      </c>
      <c r="T5" s="385" t="s">
        <v>695</v>
      </c>
      <c r="U5" s="385" t="s">
        <v>696</v>
      </c>
      <c r="V5" s="385" t="s">
        <v>697</v>
      </c>
      <c r="W5" s="385" t="s">
        <v>728</v>
      </c>
      <c r="X5" s="385" t="s">
        <v>838</v>
      </c>
      <c r="Y5" s="385" t="s">
        <v>256</v>
      </c>
      <c r="Z5" s="385" t="s">
        <v>839</v>
      </c>
      <c r="AA5" s="385" t="s">
        <v>840</v>
      </c>
      <c r="AB5" s="385" t="s">
        <v>698</v>
      </c>
      <c r="AC5" s="676" t="s">
        <v>421</v>
      </c>
      <c r="AD5" s="610" t="s">
        <v>423</v>
      </c>
      <c r="AE5" s="608" t="s">
        <v>488</v>
      </c>
      <c r="AF5" s="388" t="s">
        <v>688</v>
      </c>
      <c r="AG5" s="385" t="s">
        <v>689</v>
      </c>
      <c r="AH5" s="385" t="s">
        <v>690</v>
      </c>
      <c r="AI5" s="385" t="s">
        <v>691</v>
      </c>
      <c r="AJ5" s="385" t="s">
        <v>692</v>
      </c>
      <c r="AK5" s="385" t="s">
        <v>693</v>
      </c>
      <c r="AL5" s="385" t="s">
        <v>728</v>
      </c>
      <c r="AM5" s="385" t="s">
        <v>694</v>
      </c>
      <c r="AN5" s="385" t="s">
        <v>695</v>
      </c>
      <c r="AO5" s="385" t="s">
        <v>696</v>
      </c>
      <c r="AP5" s="385" t="s">
        <v>697</v>
      </c>
      <c r="AQ5" s="385" t="s">
        <v>256</v>
      </c>
      <c r="AR5" s="385" t="s">
        <v>698</v>
      </c>
      <c r="AS5" s="676" t="s">
        <v>421</v>
      </c>
      <c r="AT5" s="610" t="s">
        <v>423</v>
      </c>
      <c r="AU5" s="608" t="s">
        <v>491</v>
      </c>
      <c r="AV5" s="388" t="s">
        <v>688</v>
      </c>
      <c r="AW5" s="385" t="s">
        <v>689</v>
      </c>
      <c r="AX5" s="385" t="s">
        <v>690</v>
      </c>
      <c r="AY5" s="385" t="s">
        <v>691</v>
      </c>
      <c r="AZ5" s="385" t="s">
        <v>737</v>
      </c>
      <c r="BA5" s="385" t="s">
        <v>692</v>
      </c>
      <c r="BB5" s="385" t="s">
        <v>738</v>
      </c>
      <c r="BC5" s="385" t="s">
        <v>693</v>
      </c>
      <c r="BD5" s="385" t="s">
        <v>728</v>
      </c>
      <c r="BE5" s="385" t="s">
        <v>694</v>
      </c>
      <c r="BF5" s="385" t="s">
        <v>695</v>
      </c>
      <c r="BG5" s="385" t="s">
        <v>696</v>
      </c>
      <c r="BH5" s="385" t="s">
        <v>697</v>
      </c>
      <c r="BI5" s="385" t="s">
        <v>256</v>
      </c>
      <c r="BJ5" s="385" t="s">
        <v>739</v>
      </c>
      <c r="BK5" s="385" t="s">
        <v>698</v>
      </c>
      <c r="BL5" s="676" t="s">
        <v>421</v>
      </c>
      <c r="BM5" s="610" t="s">
        <v>423</v>
      </c>
      <c r="BN5" s="608" t="s">
        <v>501</v>
      </c>
      <c r="BO5" s="652" t="s">
        <v>11</v>
      </c>
      <c r="BP5" s="653"/>
      <c r="BQ5" s="653"/>
      <c r="BR5" s="653"/>
      <c r="BS5" s="654"/>
      <c r="BT5" s="624" t="s">
        <v>557</v>
      </c>
      <c r="BU5" s="625"/>
      <c r="BV5" s="625"/>
      <c r="BW5" s="626"/>
    </row>
    <row r="6" spans="1:75" ht="57" customHeight="1" x14ac:dyDescent="0.25">
      <c r="A6" s="607"/>
      <c r="B6" s="535"/>
      <c r="C6" s="535"/>
      <c r="D6" s="535"/>
      <c r="E6" s="535"/>
      <c r="F6" s="643"/>
      <c r="G6" s="535"/>
      <c r="H6" s="535"/>
      <c r="I6" s="535"/>
      <c r="J6" s="535"/>
      <c r="K6" s="535"/>
      <c r="L6" s="641"/>
      <c r="M6" s="253" t="s">
        <v>299</v>
      </c>
      <c r="N6" s="4" t="s">
        <v>299</v>
      </c>
      <c r="O6" s="4" t="s">
        <v>299</v>
      </c>
      <c r="P6" s="4" t="s">
        <v>299</v>
      </c>
      <c r="Q6" s="4" t="s">
        <v>299</v>
      </c>
      <c r="R6" s="4" t="s">
        <v>299</v>
      </c>
      <c r="S6" s="4" t="s">
        <v>299</v>
      </c>
      <c r="T6" s="4" t="s">
        <v>299</v>
      </c>
      <c r="U6" s="4" t="s">
        <v>299</v>
      </c>
      <c r="V6" s="4" t="s">
        <v>299</v>
      </c>
      <c r="W6" s="4" t="s">
        <v>299</v>
      </c>
      <c r="X6" s="4" t="s">
        <v>299</v>
      </c>
      <c r="Y6" s="4" t="s">
        <v>299</v>
      </c>
      <c r="Z6" s="4" t="s">
        <v>299</v>
      </c>
      <c r="AA6" s="4" t="s">
        <v>299</v>
      </c>
      <c r="AB6" s="4" t="s">
        <v>299</v>
      </c>
      <c r="AC6" s="677"/>
      <c r="AD6" s="611"/>
      <c r="AE6" s="609"/>
      <c r="AF6" s="163" t="s">
        <v>288</v>
      </c>
      <c r="AG6" s="4" t="s">
        <v>288</v>
      </c>
      <c r="AH6" s="4" t="s">
        <v>288</v>
      </c>
      <c r="AI6" s="4" t="s">
        <v>288</v>
      </c>
      <c r="AJ6" s="4" t="s">
        <v>288</v>
      </c>
      <c r="AK6" s="4" t="s">
        <v>288</v>
      </c>
      <c r="AL6" s="4" t="s">
        <v>288</v>
      </c>
      <c r="AM6" s="4" t="s">
        <v>288</v>
      </c>
      <c r="AN6" s="4" t="s">
        <v>288</v>
      </c>
      <c r="AO6" s="4" t="s">
        <v>288</v>
      </c>
      <c r="AP6" s="4" t="s">
        <v>288</v>
      </c>
      <c r="AQ6" s="4" t="s">
        <v>288</v>
      </c>
      <c r="AR6" s="4" t="s">
        <v>288</v>
      </c>
      <c r="AS6" s="677"/>
      <c r="AT6" s="611"/>
      <c r="AU6" s="609"/>
      <c r="AV6" s="163" t="s">
        <v>313</v>
      </c>
      <c r="AW6" s="4" t="s">
        <v>313</v>
      </c>
      <c r="AX6" s="4" t="s">
        <v>313</v>
      </c>
      <c r="AY6" s="4" t="s">
        <v>313</v>
      </c>
      <c r="AZ6" s="4" t="s">
        <v>313</v>
      </c>
      <c r="BA6" s="4" t="s">
        <v>313</v>
      </c>
      <c r="BB6" s="4" t="s">
        <v>313</v>
      </c>
      <c r="BC6" s="4" t="s">
        <v>313</v>
      </c>
      <c r="BD6" s="4" t="s">
        <v>313</v>
      </c>
      <c r="BE6" s="4" t="s">
        <v>313</v>
      </c>
      <c r="BF6" s="4" t="s">
        <v>313</v>
      </c>
      <c r="BG6" s="4" t="s">
        <v>313</v>
      </c>
      <c r="BH6" s="4" t="s">
        <v>313</v>
      </c>
      <c r="BI6" s="4" t="s">
        <v>313</v>
      </c>
      <c r="BJ6" s="4" t="s">
        <v>313</v>
      </c>
      <c r="BK6" s="4" t="s">
        <v>313</v>
      </c>
      <c r="BL6" s="677"/>
      <c r="BM6" s="611"/>
      <c r="BN6" s="609"/>
      <c r="BO6" s="176" t="s">
        <v>198</v>
      </c>
      <c r="BP6" s="5" t="s">
        <v>199</v>
      </c>
      <c r="BQ6" s="5" t="s">
        <v>200</v>
      </c>
      <c r="BR6" s="5" t="s">
        <v>201</v>
      </c>
      <c r="BS6" s="177" t="s">
        <v>20</v>
      </c>
      <c r="BT6" s="181" t="s">
        <v>202</v>
      </c>
      <c r="BU6" s="33" t="s">
        <v>203</v>
      </c>
      <c r="BV6" s="33" t="s">
        <v>204</v>
      </c>
      <c r="BW6" s="182" t="s">
        <v>205</v>
      </c>
    </row>
    <row r="7" spans="1:75" ht="114" customHeight="1" x14ac:dyDescent="0.25">
      <c r="A7" s="371" t="s">
        <v>76</v>
      </c>
      <c r="B7" s="370" t="s">
        <v>312</v>
      </c>
      <c r="C7" s="369" t="s">
        <v>215</v>
      </c>
      <c r="D7" s="369" t="s">
        <v>217</v>
      </c>
      <c r="E7" s="369" t="s">
        <v>218</v>
      </c>
      <c r="F7" s="368" t="s">
        <v>96</v>
      </c>
      <c r="G7" s="76" t="s">
        <v>319</v>
      </c>
      <c r="H7" s="76" t="s">
        <v>482</v>
      </c>
      <c r="I7" s="156" t="s">
        <v>141</v>
      </c>
      <c r="J7" s="156" t="s">
        <v>496</v>
      </c>
      <c r="K7" s="343" t="s">
        <v>641</v>
      </c>
      <c r="L7" s="372" t="s">
        <v>503</v>
      </c>
      <c r="M7" s="515"/>
      <c r="N7" s="387"/>
      <c r="O7" s="387"/>
      <c r="P7" s="387"/>
      <c r="Q7" s="387"/>
      <c r="R7" s="387"/>
      <c r="S7" s="387"/>
      <c r="T7" s="386"/>
      <c r="U7" s="386"/>
      <c r="V7" s="387"/>
      <c r="W7" s="387"/>
      <c r="X7" s="387"/>
      <c r="Y7" s="387"/>
      <c r="Z7" s="387"/>
      <c r="AA7" s="387"/>
      <c r="AB7" s="387"/>
      <c r="AC7" s="55"/>
      <c r="AD7" s="55"/>
      <c r="AE7" s="165" t="e">
        <f>AVERAGE(M7:AB7)</f>
        <v>#DIV/0!</v>
      </c>
      <c r="AF7" s="164"/>
      <c r="AG7" s="55"/>
      <c r="AH7" s="55"/>
      <c r="AI7" s="55"/>
      <c r="AJ7" s="55"/>
      <c r="AK7" s="55"/>
      <c r="AL7" s="55"/>
      <c r="AM7" s="55"/>
      <c r="AN7" s="55"/>
      <c r="AO7" s="55"/>
      <c r="AP7" s="55"/>
      <c r="AQ7" s="55"/>
      <c r="AR7" s="55"/>
      <c r="AS7" s="55"/>
      <c r="AT7" s="55"/>
      <c r="AU7" s="165" t="e">
        <f>AVERAGE(AF7:AR7)</f>
        <v>#DIV/0!</v>
      </c>
      <c r="AV7" s="164"/>
      <c r="AW7" s="57"/>
      <c r="AX7" s="57"/>
      <c r="AY7" s="57"/>
      <c r="AZ7" s="57"/>
      <c r="BA7" s="57"/>
      <c r="BB7" s="57"/>
      <c r="BC7" s="57"/>
      <c r="BD7" s="57"/>
      <c r="BE7" s="57"/>
      <c r="BF7" s="57"/>
      <c r="BG7" s="57"/>
      <c r="BH7" s="57"/>
      <c r="BI7" s="57"/>
      <c r="BJ7" s="57"/>
      <c r="BK7" s="57"/>
      <c r="BL7" s="55"/>
      <c r="BM7" s="55"/>
      <c r="BN7" s="165" t="e">
        <f>AVERAGE(AV7:BK7)</f>
        <v>#DIV/0!</v>
      </c>
      <c r="BO7" s="178" t="s">
        <v>226</v>
      </c>
      <c r="BP7" s="26" t="str">
        <f>IFERROR(IF(AE7&gt;=0.9,1,(AE7*100%)/0.9),"-")</f>
        <v>-</v>
      </c>
      <c r="BQ7" s="26" t="str">
        <f>IFERROR(IF(AU7&gt;=0.9,1,(AU7*100%)/0.9),"-")</f>
        <v>-</v>
      </c>
      <c r="BR7" s="26" t="str">
        <f>IFERROR(IF(BN7&gt;=0.9,1,(BN7*100%)/0.9),"-")</f>
        <v>-</v>
      </c>
      <c r="BS7" s="179" t="str">
        <f>IFERROR(AVERAGE(BO7:BR7),"-")</f>
        <v>-</v>
      </c>
      <c r="BT7" s="183"/>
      <c r="BU7" s="35"/>
      <c r="BV7" s="36"/>
      <c r="BW7" s="184"/>
    </row>
    <row r="8" spans="1:75" ht="27" customHeight="1" thickBot="1" x14ac:dyDescent="0.3">
      <c r="A8" s="596" t="s">
        <v>294</v>
      </c>
      <c r="B8" s="597"/>
      <c r="C8" s="597"/>
      <c r="D8" s="597"/>
      <c r="E8" s="597"/>
      <c r="F8" s="597"/>
      <c r="G8" s="597"/>
      <c r="H8" s="597"/>
      <c r="I8" s="597"/>
      <c r="J8" s="598"/>
      <c r="K8" s="598"/>
      <c r="L8" s="599"/>
      <c r="M8" s="359" t="str">
        <f t="shared" ref="M8:S8" si="0">IFERROR(AVERAGE(M7:M7),"-")</f>
        <v>-</v>
      </c>
      <c r="N8" s="359" t="str">
        <f t="shared" si="0"/>
        <v>-</v>
      </c>
      <c r="O8" s="359" t="str">
        <f t="shared" si="0"/>
        <v>-</v>
      </c>
      <c r="P8" s="359" t="str">
        <f t="shared" si="0"/>
        <v>-</v>
      </c>
      <c r="Q8" s="359" t="str">
        <f t="shared" si="0"/>
        <v>-</v>
      </c>
      <c r="R8" s="359" t="str">
        <f t="shared" si="0"/>
        <v>-</v>
      </c>
      <c r="S8" s="359" t="str">
        <f t="shared" si="0"/>
        <v>-</v>
      </c>
      <c r="T8" s="359" t="str">
        <f t="shared" ref="T8:AB8" si="1">IFERROR(AVERAGE(T7:T7),"-")</f>
        <v>-</v>
      </c>
      <c r="U8" s="359" t="str">
        <f t="shared" si="1"/>
        <v>-</v>
      </c>
      <c r="V8" s="359" t="str">
        <f t="shared" si="1"/>
        <v>-</v>
      </c>
      <c r="W8" s="387">
        <v>1</v>
      </c>
      <c r="X8" s="387">
        <v>1</v>
      </c>
      <c r="Y8" s="359" t="str">
        <f t="shared" si="1"/>
        <v>-</v>
      </c>
      <c r="Z8" s="387">
        <v>1</v>
      </c>
      <c r="AA8" s="387">
        <v>0.67</v>
      </c>
      <c r="AB8" s="359" t="str">
        <f t="shared" si="1"/>
        <v>-</v>
      </c>
      <c r="AC8" s="240"/>
      <c r="AD8" s="130"/>
      <c r="AE8" s="616" t="str">
        <f t="shared" ref="AE8:AR8" si="2">IFERROR(AVERAGE(AE7:AE7),"-")</f>
        <v>-</v>
      </c>
      <c r="AF8" s="373" t="str">
        <f t="shared" si="2"/>
        <v>-</v>
      </c>
      <c r="AG8" s="374" t="str">
        <f t="shared" si="2"/>
        <v>-</v>
      </c>
      <c r="AH8" s="374" t="str">
        <f t="shared" si="2"/>
        <v>-</v>
      </c>
      <c r="AI8" s="374" t="str">
        <f t="shared" si="2"/>
        <v>-</v>
      </c>
      <c r="AJ8" s="374" t="str">
        <f t="shared" si="2"/>
        <v>-</v>
      </c>
      <c r="AK8" s="374" t="str">
        <f t="shared" si="2"/>
        <v>-</v>
      </c>
      <c r="AL8" s="374" t="str">
        <f t="shared" si="2"/>
        <v>-</v>
      </c>
      <c r="AM8" s="374" t="str">
        <f t="shared" si="2"/>
        <v>-</v>
      </c>
      <c r="AN8" s="374" t="str">
        <f t="shared" si="2"/>
        <v>-</v>
      </c>
      <c r="AO8" s="374" t="str">
        <f t="shared" si="2"/>
        <v>-</v>
      </c>
      <c r="AP8" s="374" t="str">
        <f t="shared" si="2"/>
        <v>-</v>
      </c>
      <c r="AQ8" s="374" t="str">
        <f t="shared" si="2"/>
        <v>-</v>
      </c>
      <c r="AR8" s="374" t="str">
        <f t="shared" si="2"/>
        <v>-</v>
      </c>
      <c r="AS8" s="240"/>
      <c r="AT8" s="130"/>
      <c r="AU8" s="616" t="str">
        <f t="shared" ref="AU8:BK8" si="3">IFERROR(AVERAGE(AU7:AU7),"-")</f>
        <v>-</v>
      </c>
      <c r="AV8" s="192" t="str">
        <f t="shared" si="3"/>
        <v>-</v>
      </c>
      <c r="AW8" s="193" t="str">
        <f t="shared" si="3"/>
        <v>-</v>
      </c>
      <c r="AX8" s="193" t="str">
        <f t="shared" si="3"/>
        <v>-</v>
      </c>
      <c r="AY8" s="193" t="str">
        <f t="shared" si="3"/>
        <v>-</v>
      </c>
      <c r="AZ8" s="193" t="str">
        <f t="shared" si="3"/>
        <v>-</v>
      </c>
      <c r="BA8" s="193" t="str">
        <f t="shared" si="3"/>
        <v>-</v>
      </c>
      <c r="BB8" s="193" t="str">
        <f t="shared" si="3"/>
        <v>-</v>
      </c>
      <c r="BC8" s="193" t="str">
        <f t="shared" si="3"/>
        <v>-</v>
      </c>
      <c r="BD8" s="193" t="str">
        <f t="shared" si="3"/>
        <v>-</v>
      </c>
      <c r="BE8" s="193" t="str">
        <f t="shared" si="3"/>
        <v>-</v>
      </c>
      <c r="BF8" s="193" t="str">
        <f t="shared" si="3"/>
        <v>-</v>
      </c>
      <c r="BG8" s="193" t="str">
        <f t="shared" si="3"/>
        <v>-</v>
      </c>
      <c r="BH8" s="193" t="str">
        <f t="shared" si="3"/>
        <v>-</v>
      </c>
      <c r="BI8" s="193" t="str">
        <f t="shared" si="3"/>
        <v>-</v>
      </c>
      <c r="BJ8" s="193" t="str">
        <f t="shared" si="3"/>
        <v>-</v>
      </c>
      <c r="BK8" s="193" t="str">
        <f t="shared" si="3"/>
        <v>-</v>
      </c>
      <c r="BL8" s="240"/>
      <c r="BM8" s="130"/>
      <c r="BN8" s="616" t="str">
        <f t="shared" ref="BN8:BS8" si="4">IFERROR(AVERAGE(BN7:BN7),"-")</f>
        <v>-</v>
      </c>
      <c r="BO8" s="192" t="str">
        <f t="shared" si="4"/>
        <v>-</v>
      </c>
      <c r="BP8" s="193" t="str">
        <f t="shared" si="4"/>
        <v>-</v>
      </c>
      <c r="BQ8" s="193" t="str">
        <f t="shared" si="4"/>
        <v>-</v>
      </c>
      <c r="BR8" s="59" t="str">
        <f t="shared" si="4"/>
        <v>-</v>
      </c>
      <c r="BS8" s="698" t="str">
        <f t="shared" si="4"/>
        <v>-</v>
      </c>
      <c r="BT8" s="187"/>
      <c r="BU8" s="188"/>
      <c r="BV8" s="189"/>
      <c r="BW8" s="190"/>
    </row>
    <row r="9" spans="1:75" ht="27" thickBot="1" x14ac:dyDescent="0.3">
      <c r="A9" s="29"/>
      <c r="B9" s="29"/>
      <c r="C9" s="29"/>
      <c r="D9" s="29"/>
      <c r="E9" s="29"/>
      <c r="F9" s="38"/>
      <c r="G9" s="29"/>
      <c r="H9" s="29"/>
      <c r="I9" s="29"/>
      <c r="J9" s="29"/>
      <c r="K9" s="29"/>
      <c r="L9" s="29"/>
      <c r="M9" s="219"/>
      <c r="N9" s="195"/>
      <c r="O9" s="195"/>
      <c r="P9" s="195"/>
      <c r="Q9" s="195"/>
      <c r="R9" s="195"/>
      <c r="S9" s="195"/>
      <c r="T9" s="195"/>
      <c r="U9" s="195"/>
      <c r="V9" s="195"/>
      <c r="W9" s="195"/>
      <c r="X9" s="195"/>
      <c r="Y9" s="195"/>
      <c r="Z9" s="195"/>
      <c r="AA9" s="195"/>
      <c r="AB9" s="203"/>
      <c r="AC9" s="241"/>
      <c r="AD9" s="209" t="s">
        <v>296</v>
      </c>
      <c r="AE9" s="617"/>
      <c r="AF9" s="217"/>
      <c r="AG9" s="195"/>
      <c r="AH9" s="195"/>
      <c r="AI9" s="195"/>
      <c r="AJ9" s="195"/>
      <c r="AK9" s="195"/>
      <c r="AL9" s="195"/>
      <c r="AM9" s="195"/>
      <c r="AN9" s="195"/>
      <c r="AO9" s="195"/>
      <c r="AP9" s="195"/>
      <c r="AQ9" s="195"/>
      <c r="AR9" s="203"/>
      <c r="AS9" s="241"/>
      <c r="AT9" s="209" t="s">
        <v>297</v>
      </c>
      <c r="AU9" s="617"/>
      <c r="AV9" s="217"/>
      <c r="AW9" s="195"/>
      <c r="AX9" s="195"/>
      <c r="AY9" s="195"/>
      <c r="AZ9" s="195"/>
      <c r="BA9" s="195"/>
      <c r="BB9" s="195"/>
      <c r="BC9" s="195"/>
      <c r="BD9" s="195"/>
      <c r="BE9" s="195"/>
      <c r="BF9" s="195"/>
      <c r="BG9" s="195"/>
      <c r="BH9" s="195"/>
      <c r="BI9" s="195"/>
      <c r="BJ9" s="195"/>
      <c r="BK9" s="203"/>
      <c r="BL9" s="241"/>
      <c r="BM9" s="209" t="s">
        <v>298</v>
      </c>
      <c r="BN9" s="617"/>
      <c r="BO9" s="194"/>
      <c r="BP9" s="195"/>
      <c r="BQ9" s="196"/>
      <c r="BR9" s="180" t="s">
        <v>295</v>
      </c>
      <c r="BS9" s="699"/>
      <c r="BT9" s="29"/>
      <c r="BU9" s="29"/>
      <c r="BV9" s="29"/>
      <c r="BW9" s="29"/>
    </row>
  </sheetData>
  <mergeCells count="35">
    <mergeCell ref="A1:B1"/>
    <mergeCell ref="C1:BT1"/>
    <mergeCell ref="BU1:BW2"/>
    <mergeCell ref="A2:B3"/>
    <mergeCell ref="C2:BT3"/>
    <mergeCell ref="BU3:BW3"/>
    <mergeCell ref="A4:D4"/>
    <mergeCell ref="A5:A6"/>
    <mergeCell ref="B5:B6"/>
    <mergeCell ref="C5:C6"/>
    <mergeCell ref="D5:D6"/>
    <mergeCell ref="BT5:BW5"/>
    <mergeCell ref="BM5:BM6"/>
    <mergeCell ref="BN8:BN9"/>
    <mergeCell ref="BS8:BS9"/>
    <mergeCell ref="L5:L6"/>
    <mergeCell ref="AC5:AC6"/>
    <mergeCell ref="AD5:AD6"/>
    <mergeCell ref="AS5:AS6"/>
    <mergeCell ref="AT5:AT6"/>
    <mergeCell ref="BL5:BL6"/>
    <mergeCell ref="AE5:AE6"/>
    <mergeCell ref="AU5:AU6"/>
    <mergeCell ref="AU8:AU9"/>
    <mergeCell ref="A8:L8"/>
    <mergeCell ref="AE8:AE9"/>
    <mergeCell ref="BN5:BN6"/>
    <mergeCell ref="BO5:BS5"/>
    <mergeCell ref="E5:E6"/>
    <mergeCell ref="F5:F6"/>
    <mergeCell ref="G5:G6"/>
    <mergeCell ref="H5:H6"/>
    <mergeCell ref="I5:I6"/>
    <mergeCell ref="J5:J6"/>
    <mergeCell ref="K5:K6"/>
  </mergeCells>
  <conditionalFormatting sqref="BS8 BO7:BS7">
    <cfRule type="cellIs" dxfId="44" priority="1" operator="lessThan">
      <formula>0.6</formula>
    </cfRule>
    <cfRule type="cellIs" dxfId="43" priority="2" operator="between">
      <formula>60%</formula>
      <formula>79%</formula>
    </cfRule>
    <cfRule type="cellIs" dxfId="42" priority="3" operator="between">
      <formula>80%</formula>
      <formula>100%</formula>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17"/>
  <sheetViews>
    <sheetView topLeftCell="A3" zoomScale="70" zoomScaleNormal="70" workbookViewId="0">
      <selection activeCell="K19" sqref="K19"/>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140625" customWidth="1"/>
    <col min="7" max="7" width="14" customWidth="1"/>
    <col min="8" max="8" width="30.7109375" customWidth="1"/>
    <col min="9" max="10" width="14.42578125" customWidth="1"/>
    <col min="11" max="11" width="16.7109375" customWidth="1"/>
    <col min="12" max="12" width="15" customWidth="1"/>
    <col min="13" max="13" width="19.42578125" customWidth="1"/>
    <col min="14" max="14" width="26" customWidth="1"/>
    <col min="15" max="15" width="32.42578125" customWidth="1"/>
    <col min="16" max="16" width="19.42578125" customWidth="1"/>
    <col min="17" max="17" width="28.5703125" customWidth="1"/>
    <col min="18" max="18" width="24.28515625" customWidth="1"/>
    <col min="19" max="19" width="25.7109375" customWidth="1"/>
    <col min="20" max="21" width="19.42578125" customWidth="1"/>
    <col min="22" max="22" width="23.5703125" customWidth="1"/>
    <col min="23" max="23" width="23.28515625" customWidth="1"/>
    <col min="24" max="26" width="19.42578125" customWidth="1"/>
    <col min="27" max="27" width="21.28515625" customWidth="1"/>
    <col min="28" max="28" width="22.140625" customWidth="1"/>
    <col min="29" max="29" width="19.42578125" customWidth="1"/>
    <col min="30" max="34" width="17.7109375" customWidth="1"/>
    <col min="35" max="38" width="26.5703125" customWidth="1"/>
  </cols>
  <sheetData>
    <row r="1" spans="1:38"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612"/>
      <c r="AK1" s="612"/>
      <c r="AL1" s="612"/>
    </row>
    <row r="2" spans="1:38" ht="41.25" customHeight="1" x14ac:dyDescent="0.25">
      <c r="A2" s="593" t="s">
        <v>774</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612"/>
      <c r="AK2" s="612"/>
      <c r="AL2" s="612"/>
    </row>
    <row r="3" spans="1:38"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613" t="s">
        <v>772</v>
      </c>
      <c r="AK3" s="613"/>
      <c r="AL3" s="613"/>
    </row>
    <row r="4" spans="1:38" ht="15.75" thickBot="1" x14ac:dyDescent="0.3">
      <c r="A4" s="627" t="s">
        <v>193</v>
      </c>
      <c r="B4" s="627"/>
      <c r="C4" s="627"/>
      <c r="D4" s="627"/>
      <c r="E4" s="29"/>
      <c r="F4" s="38"/>
      <c r="G4" s="29"/>
      <c r="H4" s="29"/>
      <c r="I4" s="29"/>
      <c r="J4" s="29"/>
      <c r="K4" s="29"/>
      <c r="L4" s="29"/>
      <c r="M4" s="56"/>
      <c r="N4" s="29"/>
      <c r="O4" s="29"/>
      <c r="P4" s="29"/>
      <c r="Q4" s="29"/>
      <c r="R4" s="56"/>
      <c r="S4" s="29"/>
      <c r="T4" s="29"/>
      <c r="U4" s="29"/>
      <c r="V4" s="29"/>
      <c r="W4" s="56"/>
      <c r="X4" s="29"/>
      <c r="Y4" s="29"/>
      <c r="Z4" s="29"/>
      <c r="AA4" s="29"/>
      <c r="AB4" s="29"/>
      <c r="AC4" s="29"/>
      <c r="AD4" s="29"/>
      <c r="AE4" s="29"/>
      <c r="AF4" s="29"/>
      <c r="AG4" s="29"/>
      <c r="AH4" s="29"/>
      <c r="AI4" s="29"/>
      <c r="AJ4" s="29"/>
      <c r="AK4" s="29"/>
      <c r="AL4" s="29"/>
    </row>
    <row r="5" spans="1:38" ht="57" customHeight="1" x14ac:dyDescent="0.25">
      <c r="A5" s="606" t="s">
        <v>1</v>
      </c>
      <c r="B5" s="594" t="s">
        <v>3</v>
      </c>
      <c r="C5" s="594" t="s">
        <v>194</v>
      </c>
      <c r="D5" s="594" t="s">
        <v>195</v>
      </c>
      <c r="E5" s="594" t="s">
        <v>196</v>
      </c>
      <c r="F5" s="642" t="s">
        <v>742</v>
      </c>
      <c r="G5" s="594" t="s">
        <v>228</v>
      </c>
      <c r="H5" s="594" t="s">
        <v>227</v>
      </c>
      <c r="I5" s="594" t="s">
        <v>8</v>
      </c>
      <c r="J5" s="594" t="s">
        <v>495</v>
      </c>
      <c r="K5" s="594" t="s">
        <v>519</v>
      </c>
      <c r="L5" s="640" t="s">
        <v>9</v>
      </c>
      <c r="M5" s="162" t="s">
        <v>480</v>
      </c>
      <c r="N5" s="676" t="s">
        <v>421</v>
      </c>
      <c r="O5" s="610" t="s">
        <v>423</v>
      </c>
      <c r="P5" s="608" t="s">
        <v>488</v>
      </c>
      <c r="Q5" s="162" t="s">
        <v>320</v>
      </c>
      <c r="R5" s="676" t="s">
        <v>421</v>
      </c>
      <c r="S5" s="610" t="s">
        <v>423</v>
      </c>
      <c r="T5" s="608" t="s">
        <v>491</v>
      </c>
      <c r="U5" s="162" t="s">
        <v>320</v>
      </c>
      <c r="V5" s="676" t="s">
        <v>421</v>
      </c>
      <c r="W5" s="610" t="s">
        <v>423</v>
      </c>
      <c r="X5" s="608" t="s">
        <v>493</v>
      </c>
      <c r="Y5" s="652" t="s">
        <v>11</v>
      </c>
      <c r="Z5" s="653"/>
      <c r="AA5" s="653"/>
      <c r="AB5" s="653"/>
      <c r="AC5" s="654"/>
      <c r="AD5" s="624" t="s">
        <v>557</v>
      </c>
      <c r="AE5" s="625"/>
      <c r="AF5" s="625"/>
      <c r="AG5" s="626"/>
    </row>
    <row r="6" spans="1:38" ht="57" customHeight="1" x14ac:dyDescent="0.25">
      <c r="A6" s="607"/>
      <c r="B6" s="535"/>
      <c r="C6" s="535"/>
      <c r="D6" s="535"/>
      <c r="E6" s="535"/>
      <c r="F6" s="643"/>
      <c r="G6" s="535"/>
      <c r="H6" s="535"/>
      <c r="I6" s="535"/>
      <c r="J6" s="535"/>
      <c r="K6" s="535"/>
      <c r="L6" s="641"/>
      <c r="M6" s="163" t="s">
        <v>299</v>
      </c>
      <c r="N6" s="677"/>
      <c r="O6" s="611"/>
      <c r="P6" s="609"/>
      <c r="Q6" s="163" t="s">
        <v>288</v>
      </c>
      <c r="R6" s="677"/>
      <c r="S6" s="611"/>
      <c r="T6" s="609"/>
      <c r="U6" s="163" t="s">
        <v>313</v>
      </c>
      <c r="V6" s="677"/>
      <c r="W6" s="611"/>
      <c r="X6" s="609"/>
      <c r="Y6" s="176" t="s">
        <v>198</v>
      </c>
      <c r="Z6" s="5" t="s">
        <v>199</v>
      </c>
      <c r="AA6" s="5" t="s">
        <v>200</v>
      </c>
      <c r="AB6" s="5" t="s">
        <v>201</v>
      </c>
      <c r="AC6" s="177" t="s">
        <v>20</v>
      </c>
      <c r="AD6" s="181" t="s">
        <v>202</v>
      </c>
      <c r="AE6" s="33" t="s">
        <v>203</v>
      </c>
      <c r="AF6" s="33" t="s">
        <v>204</v>
      </c>
      <c r="AG6" s="182" t="s">
        <v>205</v>
      </c>
    </row>
    <row r="7" spans="1:38" ht="84.75" customHeight="1" x14ac:dyDescent="0.25">
      <c r="A7" s="732" t="s">
        <v>346</v>
      </c>
      <c r="B7" s="722" t="s">
        <v>347</v>
      </c>
      <c r="C7" s="722" t="s">
        <v>348</v>
      </c>
      <c r="D7" s="722" t="s">
        <v>349</v>
      </c>
      <c r="E7" s="722" t="s">
        <v>350</v>
      </c>
      <c r="F7" s="692">
        <f>+'PLAN DESARROLLO'!E16</f>
        <v>0.7</v>
      </c>
      <c r="G7" s="6" t="s">
        <v>352</v>
      </c>
      <c r="H7" s="85" t="s">
        <v>801</v>
      </c>
      <c r="I7" s="81" t="s">
        <v>132</v>
      </c>
      <c r="J7" s="220" t="s">
        <v>496</v>
      </c>
      <c r="K7" s="198" t="s">
        <v>835</v>
      </c>
      <c r="L7" s="205" t="s">
        <v>354</v>
      </c>
      <c r="M7" s="164"/>
      <c r="N7" s="150"/>
      <c r="O7" s="150"/>
      <c r="P7" s="165" t="e">
        <f>AVERAGE(M7:M7)</f>
        <v>#DIV/0!</v>
      </c>
      <c r="Q7" s="218"/>
      <c r="R7" s="150"/>
      <c r="S7" s="150"/>
      <c r="T7" s="165" t="e">
        <f>(AVERAGE(Q7:S7))</f>
        <v>#DIV/0!</v>
      </c>
      <c r="U7" s="164"/>
      <c r="V7" s="150"/>
      <c r="W7" s="150"/>
      <c r="X7" s="165" t="e">
        <f>+AVERAGE(U7:W7)</f>
        <v>#DIV/0!</v>
      </c>
      <c r="Y7" s="178" t="s">
        <v>226</v>
      </c>
      <c r="Z7" s="26" t="str">
        <f>IFERROR(IF(P7&gt;=0.8,1,(P7*100%)/0.8),"-")</f>
        <v>-</v>
      </c>
      <c r="AA7" s="26" t="str">
        <f>IFERROR(IF(T7&gt;=0.8,1,(T7*100%)/0.8),"-")</f>
        <v>-</v>
      </c>
      <c r="AB7" s="26" t="str">
        <f>IFERROR(IF(X7&gt;=0.8,1,(X7*100%)/0.8),"-")</f>
        <v>-</v>
      </c>
      <c r="AC7" s="179" t="str">
        <f>IFERROR(AVERAGE(Y7:AB7),"-")</f>
        <v>-</v>
      </c>
      <c r="AD7" s="183"/>
      <c r="AE7" s="35"/>
      <c r="AF7" s="36"/>
      <c r="AG7" s="184"/>
    </row>
    <row r="8" spans="1:38" ht="79.5" customHeight="1" x14ac:dyDescent="0.25">
      <c r="A8" s="733"/>
      <c r="B8" s="696"/>
      <c r="C8" s="696"/>
      <c r="D8" s="696"/>
      <c r="E8" s="696"/>
      <c r="F8" s="693"/>
      <c r="G8" s="6" t="s">
        <v>802</v>
      </c>
      <c r="H8" s="85" t="s">
        <v>753</v>
      </c>
      <c r="I8" s="81" t="s">
        <v>351</v>
      </c>
      <c r="J8" s="220" t="s">
        <v>497</v>
      </c>
      <c r="K8" s="198" t="s">
        <v>642</v>
      </c>
      <c r="L8" s="205" t="s">
        <v>354</v>
      </c>
      <c r="M8" s="172"/>
      <c r="N8" s="150"/>
      <c r="O8" s="150"/>
      <c r="P8" s="165" t="e">
        <f>AVERAGE(M8:M8)</f>
        <v>#DIV/0!</v>
      </c>
      <c r="Q8" s="218"/>
      <c r="R8" s="150"/>
      <c r="S8" s="150"/>
      <c r="T8" s="165" t="e">
        <f>(AVERAGE(Q8:S8))</f>
        <v>#DIV/0!</v>
      </c>
      <c r="U8" s="164"/>
      <c r="V8" s="150"/>
      <c r="W8" s="150"/>
      <c r="X8" s="165" t="e">
        <f>+AVERAGE(U8:W8)</f>
        <v>#DIV/0!</v>
      </c>
      <c r="Y8" s="178" t="s">
        <v>226</v>
      </c>
      <c r="Z8" s="26" t="str">
        <f>IFERROR(IF(P8&gt;=1,1,(P8*100%)/1),"-")</f>
        <v>-</v>
      </c>
      <c r="AA8" s="26" t="s">
        <v>226</v>
      </c>
      <c r="AB8" s="26" t="s">
        <v>226</v>
      </c>
      <c r="AC8" s="179" t="str">
        <f>IFERROR(AVERAGE(Y8:AB8),"-")</f>
        <v>-</v>
      </c>
      <c r="AD8" s="185"/>
      <c r="AE8" s="30"/>
      <c r="AF8" s="28"/>
      <c r="AG8" s="186"/>
    </row>
    <row r="9" spans="1:38" ht="76.5" x14ac:dyDescent="0.25">
      <c r="A9" s="734"/>
      <c r="B9" s="735"/>
      <c r="C9" s="735"/>
      <c r="D9" s="735"/>
      <c r="E9" s="735"/>
      <c r="F9" s="694"/>
      <c r="G9" s="86" t="s">
        <v>353</v>
      </c>
      <c r="H9" s="83" t="s">
        <v>754</v>
      </c>
      <c r="I9" s="81" t="s">
        <v>132</v>
      </c>
      <c r="J9" s="220" t="s">
        <v>496</v>
      </c>
      <c r="K9" s="198" t="s">
        <v>835</v>
      </c>
      <c r="L9" s="205" t="s">
        <v>354</v>
      </c>
      <c r="M9" s="164"/>
      <c r="N9" s="151"/>
      <c r="O9" s="151"/>
      <c r="P9" s="165" t="e">
        <f>AVERAGE(M9:M9)</f>
        <v>#DIV/0!</v>
      </c>
      <c r="Q9" s="218"/>
      <c r="R9" s="151"/>
      <c r="S9" s="151"/>
      <c r="T9" s="165" t="e">
        <f>(AVERAGE(Q9:S9))</f>
        <v>#DIV/0!</v>
      </c>
      <c r="U9" s="164"/>
      <c r="V9" s="151"/>
      <c r="W9" s="151"/>
      <c r="X9" s="165" t="e">
        <f>+AVERAGE(U9:W9)</f>
        <v>#DIV/0!</v>
      </c>
      <c r="Y9" s="178" t="s">
        <v>226</v>
      </c>
      <c r="Z9" s="26" t="str">
        <f>IFERROR(IF(P9&gt;=0.8,1,(P9*100%)/0.8),"-")</f>
        <v>-</v>
      </c>
      <c r="AA9" s="26" t="str">
        <f>IFERROR(IF(T9&gt;=0.8,1,(T9*100%)/0.8),"-")</f>
        <v>-</v>
      </c>
      <c r="AB9" s="26" t="str">
        <f>IFERROR(IF(X9&gt;=0.8,1,(X9*100%)/0.8),"-")</f>
        <v>-</v>
      </c>
      <c r="AC9" s="179" t="str">
        <f>IFERROR(AVERAGE(Y9:AB9),"-")</f>
        <v>-</v>
      </c>
      <c r="AD9" s="185"/>
      <c r="AE9" s="30"/>
      <c r="AF9" s="28"/>
      <c r="AG9" s="215"/>
    </row>
    <row r="10" spans="1:38" ht="26.25" thickBot="1" x14ac:dyDescent="0.3">
      <c r="A10" s="596" t="s">
        <v>294</v>
      </c>
      <c r="B10" s="597"/>
      <c r="C10" s="597"/>
      <c r="D10" s="597"/>
      <c r="E10" s="597"/>
      <c r="F10" s="597"/>
      <c r="G10" s="597"/>
      <c r="H10" s="597"/>
      <c r="I10" s="597"/>
      <c r="J10" s="598"/>
      <c r="K10" s="598"/>
      <c r="L10" s="599"/>
      <c r="M10" s="358" t="str">
        <f t="shared" ref="M10:Y10" si="0">IFERROR(AVERAGE(M7:M9),"-")</f>
        <v>-</v>
      </c>
      <c r="N10" s="169"/>
      <c r="O10" s="130"/>
      <c r="P10" s="700"/>
      <c r="Q10" s="192" t="str">
        <f t="shared" si="0"/>
        <v>-</v>
      </c>
      <c r="R10" s="169"/>
      <c r="S10" s="130"/>
      <c r="T10" s="700" t="str">
        <f t="shared" si="0"/>
        <v>-</v>
      </c>
      <c r="U10" s="192" t="str">
        <f t="shared" si="0"/>
        <v>-</v>
      </c>
      <c r="V10" s="169"/>
      <c r="W10" s="130"/>
      <c r="X10" s="700" t="str">
        <f t="shared" si="0"/>
        <v>-</v>
      </c>
      <c r="Y10" s="192" t="str">
        <f t="shared" si="0"/>
        <v>-</v>
      </c>
      <c r="Z10" s="359" t="str">
        <f>IFERROR(AVERAGE(Z8:Z9),"-")</f>
        <v>-</v>
      </c>
      <c r="AA10" s="359" t="str">
        <f>IFERROR(AVERAGE(AA7:AA9),"-")</f>
        <v>-</v>
      </c>
      <c r="AB10" s="362" t="str">
        <f>IFERROR(AVERAGE(AB7:AB9),"-")</f>
        <v>-</v>
      </c>
      <c r="AC10" s="719" t="str">
        <f>IFERROR(AVERAGE(AC7:AC9),"-")</f>
        <v>-</v>
      </c>
      <c r="AD10" s="187"/>
      <c r="AE10" s="188"/>
      <c r="AF10" s="189"/>
      <c r="AG10" s="190"/>
    </row>
    <row r="11" spans="1:38" ht="27" thickBot="1" x14ac:dyDescent="0.3">
      <c r="A11" s="29"/>
      <c r="B11" s="29"/>
      <c r="C11" s="29"/>
      <c r="D11" s="29"/>
      <c r="E11" s="29"/>
      <c r="F11" s="38"/>
      <c r="G11" s="29"/>
      <c r="H11" s="29"/>
      <c r="I11" s="29"/>
      <c r="J11" s="29"/>
      <c r="K11" s="29"/>
      <c r="L11" s="29"/>
      <c r="M11" s="219"/>
      <c r="N11" s="196"/>
      <c r="O11" s="209"/>
      <c r="P11" s="701"/>
      <c r="Q11" s="217"/>
      <c r="R11" s="196"/>
      <c r="S11" s="209" t="s">
        <v>297</v>
      </c>
      <c r="T11" s="701"/>
      <c r="U11" s="217"/>
      <c r="V11" s="196"/>
      <c r="W11" s="209" t="s">
        <v>430</v>
      </c>
      <c r="X11" s="701"/>
      <c r="Y11" s="194"/>
      <c r="Z11" s="195"/>
      <c r="AA11" s="196"/>
      <c r="AB11" s="180" t="s">
        <v>295</v>
      </c>
      <c r="AC11" s="720"/>
      <c r="AD11" s="29"/>
      <c r="AE11" s="29"/>
      <c r="AF11" s="29"/>
      <c r="AG11" s="29"/>
    </row>
    <row r="13" spans="1:38" ht="45" x14ac:dyDescent="0.25">
      <c r="G13" s="631" t="s">
        <v>580</v>
      </c>
      <c r="H13" s="632"/>
      <c r="I13" s="632"/>
      <c r="J13" s="633"/>
      <c r="K13" s="295" t="s">
        <v>577</v>
      </c>
      <c r="L13" s="313" t="s">
        <v>578</v>
      </c>
      <c r="M13" s="296" t="s">
        <v>582</v>
      </c>
      <c r="N13" s="296" t="s">
        <v>583</v>
      </c>
      <c r="O13" s="297" t="s">
        <v>581</v>
      </c>
      <c r="Q13" s="296" t="s">
        <v>582</v>
      </c>
      <c r="R13" s="296" t="s">
        <v>729</v>
      </c>
      <c r="S13" s="296" t="s">
        <v>583</v>
      </c>
      <c r="T13" s="297" t="s">
        <v>581</v>
      </c>
      <c r="U13" s="409" t="s">
        <v>730</v>
      </c>
      <c r="W13" s="296" t="s">
        <v>582</v>
      </c>
      <c r="X13" s="296" t="s">
        <v>729</v>
      </c>
      <c r="Y13" s="296" t="s">
        <v>733</v>
      </c>
      <c r="Z13" s="296" t="s">
        <v>583</v>
      </c>
      <c r="AA13" s="297" t="s">
        <v>581</v>
      </c>
      <c r="AB13" s="472" t="s">
        <v>730</v>
      </c>
    </row>
    <row r="14" spans="1:38" x14ac:dyDescent="0.25">
      <c r="G14" s="726" t="s">
        <v>352</v>
      </c>
      <c r="H14" s="727"/>
      <c r="I14" s="727"/>
      <c r="J14" s="728"/>
      <c r="K14" s="330" t="str">
        <f>+I7</f>
        <v>&gt;=80%</v>
      </c>
      <c r="L14" s="330">
        <v>0.2</v>
      </c>
      <c r="M14" s="330" t="e">
        <f>+P7</f>
        <v>#DIV/0!</v>
      </c>
      <c r="N14" s="330" t="str">
        <f>IFERROR(IF(M14&gt;=0.8,1,(M14*100%)/0.8),"-")</f>
        <v>-</v>
      </c>
      <c r="O14" s="315" t="str">
        <f>IFERROR(+IF(N14=100%,L14,(+N14*L14)),"-")</f>
        <v>-</v>
      </c>
      <c r="Q14" s="330" t="e">
        <f>+T7</f>
        <v>#DIV/0!</v>
      </c>
      <c r="R14" s="330" t="e">
        <f>+M14</f>
        <v>#DIV/0!</v>
      </c>
      <c r="S14" s="330" t="str">
        <f>IFERROR(IF(AVERAGE(Q14,R14)&gt;=0.8,1,(AVERAGE(Q14,R14)*100%)/0.8),"-")</f>
        <v>-</v>
      </c>
      <c r="T14" s="315" t="str">
        <f>IFERROR(+IF(S14=100%,L14,(+S14*L14)),"-")</f>
        <v>-</v>
      </c>
      <c r="U14" s="729">
        <f>+T17</f>
        <v>0</v>
      </c>
      <c r="W14" s="330" t="e">
        <f>+X7</f>
        <v>#DIV/0!</v>
      </c>
      <c r="X14" s="330" t="e">
        <f>+M14</f>
        <v>#DIV/0!</v>
      </c>
      <c r="Y14" s="330" t="e">
        <f>+Q14</f>
        <v>#DIV/0!</v>
      </c>
      <c r="Z14" s="330" t="str">
        <f>IFERROR(IF(AVERAGE(W14,Y14)&gt;=0.8,1,(AVERAGE(W14:Y14)*100%)/0.8),"-")</f>
        <v>-</v>
      </c>
      <c r="AA14" s="315" t="str">
        <f>IFERROR(+IF(Z14=100%,L14,(+Z14*L14)),"-")</f>
        <v>-</v>
      </c>
      <c r="AB14" s="729">
        <f>+AA17</f>
        <v>0</v>
      </c>
    </row>
    <row r="15" spans="1:38" x14ac:dyDescent="0.25">
      <c r="G15" s="726" t="s">
        <v>625</v>
      </c>
      <c r="H15" s="727"/>
      <c r="I15" s="727"/>
      <c r="J15" s="728"/>
      <c r="K15" s="330" t="str">
        <f>+I8</f>
        <v>&gt;=1</v>
      </c>
      <c r="L15" s="330">
        <v>0.3</v>
      </c>
      <c r="M15" s="330" t="e">
        <f>+P8</f>
        <v>#DIV/0!</v>
      </c>
      <c r="N15" s="330" t="str">
        <f>IFERROR(IF(M15&gt;=1,1,(M15*100%)/1),"-")</f>
        <v>-</v>
      </c>
      <c r="O15" s="332" t="str">
        <f>+IFERROR(IF(N15=100%,L15,(+N15*L15)),"-")</f>
        <v>-</v>
      </c>
      <c r="Q15" s="330" t="e">
        <f>+T8</f>
        <v>#DIV/0!</v>
      </c>
      <c r="R15" s="330" t="e">
        <f>+M15</f>
        <v>#DIV/0!</v>
      </c>
      <c r="S15" s="330" t="str">
        <f>IFERROR(IF(Q15&gt;=1,1,(Q15*100%)/1),"-")</f>
        <v>-</v>
      </c>
      <c r="T15" s="315" t="str">
        <f>IFERROR(+IF(S15=100%,L15,(+S15*L15)),"-")</f>
        <v>-</v>
      </c>
      <c r="U15" s="729"/>
      <c r="W15" s="330"/>
      <c r="X15" s="330" t="e">
        <f>+M15</f>
        <v>#DIV/0!</v>
      </c>
      <c r="Y15" s="330"/>
      <c r="Z15" s="330" t="str">
        <f>IFERROR(IF(AVERAGE(W15:Y15)&gt;=0.8,1,(AVERAGE(W15:Y15)*100%)/0.8),"-")</f>
        <v>-</v>
      </c>
      <c r="AA15" s="315" t="str">
        <f>IFERROR(+IF(Z15=100%,L15,(+Z15*L15)),"-")</f>
        <v>-</v>
      </c>
      <c r="AB15" s="729"/>
    </row>
    <row r="16" spans="1:38" x14ac:dyDescent="0.25">
      <c r="G16" s="726" t="s">
        <v>353</v>
      </c>
      <c r="H16" s="727"/>
      <c r="I16" s="727"/>
      <c r="J16" s="728"/>
      <c r="K16" s="330" t="str">
        <f>+I9</f>
        <v>&gt;=80%</v>
      </c>
      <c r="L16" s="330">
        <v>0.2</v>
      </c>
      <c r="M16" s="330" t="e">
        <f>+P9</f>
        <v>#DIV/0!</v>
      </c>
      <c r="N16" s="330" t="str">
        <f>IFERROR(IF(M16&gt;=0.8,1,(M16*100%)/0.8),"-")</f>
        <v>-</v>
      </c>
      <c r="O16" s="332" t="str">
        <f>+IFERROR(IF(N16=100%,L16,(+N16*L16)),"-")</f>
        <v>-</v>
      </c>
      <c r="Q16" s="330" t="e">
        <f>+T9</f>
        <v>#DIV/0!</v>
      </c>
      <c r="R16" s="330" t="e">
        <f>+M16</f>
        <v>#DIV/0!</v>
      </c>
      <c r="S16" s="330" t="str">
        <f>IFERROR(IF(AVERAGE(Q16,R16)&gt;=0.8,1,(AVERAGE(Q16,R16)*100%)/0.8),"-")</f>
        <v>-</v>
      </c>
      <c r="T16" s="315" t="str">
        <f>IFERROR(+IF(S16=100%,L16,(+S16*L16)),"-")</f>
        <v>-</v>
      </c>
      <c r="U16" s="729"/>
      <c r="W16" s="330" t="e">
        <f>+X9</f>
        <v>#DIV/0!</v>
      </c>
      <c r="X16" s="330" t="e">
        <f>+M16</f>
        <v>#DIV/0!</v>
      </c>
      <c r="Y16" s="330" t="e">
        <f>+Q16</f>
        <v>#DIV/0!</v>
      </c>
      <c r="Z16" s="330" t="str">
        <f>IFERROR(IF(AVERAGE(W16,Y16)&gt;=0.8,1,(AVERAGE(W16:Y16)*100%)/0.8),"-")</f>
        <v>-</v>
      </c>
      <c r="AA16" s="315" t="str">
        <f>IFERROR(+IF(Z16=100%,L16,(+Z16*L16)),"-")</f>
        <v>-</v>
      </c>
      <c r="AB16" s="729"/>
    </row>
    <row r="17" spans="12:27" ht="18.75" x14ac:dyDescent="0.3">
      <c r="L17" s="331">
        <f>SUM(L14:L16)</f>
        <v>0.7</v>
      </c>
      <c r="O17" s="377">
        <f>IFERROR(SUM(O14:O16),"-")</f>
        <v>0</v>
      </c>
      <c r="T17" s="377">
        <f>IFERROR(SUM(T14:T16),"-")</f>
        <v>0</v>
      </c>
      <c r="AA17" s="377">
        <f>IFERROR(SUM(AA14:AA16),"-")</f>
        <v>0</v>
      </c>
    </row>
  </sheetData>
  <mergeCells count="47">
    <mergeCell ref="AC10:AC11"/>
    <mergeCell ref="AB14:AB16"/>
    <mergeCell ref="G13:J13"/>
    <mergeCell ref="G14:J14"/>
    <mergeCell ref="G15:J15"/>
    <mergeCell ref="G16:J16"/>
    <mergeCell ref="U14:U16"/>
    <mergeCell ref="X10:X11"/>
    <mergeCell ref="P10:P11"/>
    <mergeCell ref="T10:T11"/>
    <mergeCell ref="A10:L10"/>
    <mergeCell ref="A7:A9"/>
    <mergeCell ref="B7:B9"/>
    <mergeCell ref="C7:C9"/>
    <mergeCell ref="F7:F9"/>
    <mergeCell ref="D7:D9"/>
    <mergeCell ref="E7:E9"/>
    <mergeCell ref="X5:X6"/>
    <mergeCell ref="L5:L6"/>
    <mergeCell ref="P5:P6"/>
    <mergeCell ref="A4:D4"/>
    <mergeCell ref="C5:C6"/>
    <mergeCell ref="H5:H6"/>
    <mergeCell ref="I5:I6"/>
    <mergeCell ref="G5:G6"/>
    <mergeCell ref="E5:E6"/>
    <mergeCell ref="F5:F6"/>
    <mergeCell ref="J5:J6"/>
    <mergeCell ref="N5:N6"/>
    <mergeCell ref="O5:O6"/>
    <mergeCell ref="K5:K6"/>
    <mergeCell ref="AJ1:AL2"/>
    <mergeCell ref="A2:B3"/>
    <mergeCell ref="C2:AI3"/>
    <mergeCell ref="AJ3:AL3"/>
    <mergeCell ref="T5:T6"/>
    <mergeCell ref="A5:A6"/>
    <mergeCell ref="B5:B6"/>
    <mergeCell ref="D5:D6"/>
    <mergeCell ref="A1:B1"/>
    <mergeCell ref="C1:AI1"/>
    <mergeCell ref="Y5:AC5"/>
    <mergeCell ref="AD5:AG5"/>
    <mergeCell ref="R5:R6"/>
    <mergeCell ref="S5:S6"/>
    <mergeCell ref="V5:V6"/>
    <mergeCell ref="W5:W6"/>
  </mergeCells>
  <conditionalFormatting sqref="AC10 Y7:AC9">
    <cfRule type="cellIs" dxfId="41" priority="1" operator="lessThan">
      <formula>0.6</formula>
    </cfRule>
    <cfRule type="cellIs" dxfId="40" priority="2" operator="between">
      <formula>60%</formula>
      <formula>79%</formula>
    </cfRule>
    <cfRule type="cellIs" dxfId="39" priority="3" operator="between">
      <formula>80%</formula>
      <formula>100%</formula>
    </cfRule>
  </conditionalFormatting>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20"/>
  <sheetViews>
    <sheetView topLeftCell="A3" zoomScale="70" zoomScaleNormal="70" workbookViewId="0">
      <selection activeCell="P4" sqref="P1:Y1048576"/>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140625" customWidth="1"/>
    <col min="7" max="7" width="30.7109375" customWidth="1"/>
    <col min="8" max="8" width="25.28515625" customWidth="1"/>
    <col min="9" max="11" width="14.42578125" customWidth="1"/>
    <col min="12" max="12" width="16.7109375" customWidth="1"/>
    <col min="13" max="13" width="19.42578125" customWidth="1"/>
    <col min="14" max="14" width="42" customWidth="1"/>
    <col min="15" max="16" width="22.28515625" customWidth="1"/>
    <col min="17" max="17" width="19.42578125" customWidth="1"/>
    <col min="18" max="18" width="24.85546875" customWidth="1"/>
    <col min="19" max="20" width="22.28515625" customWidth="1"/>
    <col min="21" max="21" width="19.42578125" customWidth="1"/>
    <col min="22" max="22" width="27.28515625" customWidth="1"/>
    <col min="23" max="24" width="22.28515625" customWidth="1"/>
    <col min="25" max="29" width="17.7109375" customWidth="1"/>
    <col min="30" max="33" width="26.5703125" customWidth="1"/>
  </cols>
  <sheetData>
    <row r="1" spans="1:33"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772</v>
      </c>
      <c r="AF3" s="613"/>
      <c r="AG3" s="613"/>
    </row>
    <row r="4" spans="1:33" ht="15.75" thickBot="1" x14ac:dyDescent="0.3">
      <c r="A4" s="627" t="s">
        <v>193</v>
      </c>
      <c r="B4" s="627"/>
      <c r="C4" s="627"/>
      <c r="D4" s="627"/>
      <c r="E4" s="29"/>
      <c r="F4" s="38"/>
      <c r="G4" s="29"/>
      <c r="H4" s="29"/>
      <c r="I4" s="29"/>
      <c r="J4" s="29"/>
      <c r="K4" s="29"/>
      <c r="L4" s="29"/>
      <c r="M4" s="56"/>
      <c r="N4" s="29"/>
      <c r="O4" s="29"/>
      <c r="P4" s="29"/>
      <c r="Q4" s="56"/>
      <c r="R4" s="29"/>
      <c r="S4" s="29"/>
      <c r="T4" s="29"/>
      <c r="U4" s="56"/>
      <c r="V4" s="29"/>
      <c r="W4" s="29"/>
      <c r="X4" s="29"/>
      <c r="Y4" s="29"/>
      <c r="Z4" s="29"/>
      <c r="AA4" s="29"/>
      <c r="AB4" s="29"/>
      <c r="AC4" s="29"/>
      <c r="AD4" s="29"/>
      <c r="AE4" s="29"/>
      <c r="AF4" s="29"/>
      <c r="AG4" s="29"/>
    </row>
    <row r="5" spans="1:33" ht="57" customHeight="1" x14ac:dyDescent="0.25">
      <c r="A5" s="534" t="s">
        <v>1</v>
      </c>
      <c r="B5" s="534" t="s">
        <v>3</v>
      </c>
      <c r="C5" s="534" t="s">
        <v>194</v>
      </c>
      <c r="D5" s="534" t="s">
        <v>195</v>
      </c>
      <c r="E5" s="534" t="s">
        <v>196</v>
      </c>
      <c r="F5" s="739" t="s">
        <v>742</v>
      </c>
      <c r="G5" s="534" t="s">
        <v>228</v>
      </c>
      <c r="H5" s="534" t="s">
        <v>227</v>
      </c>
      <c r="I5" s="534" t="s">
        <v>8</v>
      </c>
      <c r="J5" s="534" t="s">
        <v>495</v>
      </c>
      <c r="K5" s="534" t="s">
        <v>519</v>
      </c>
      <c r="L5" s="736" t="s">
        <v>9</v>
      </c>
      <c r="M5" s="199" t="s">
        <v>372</v>
      </c>
      <c r="N5" s="676" t="s">
        <v>421</v>
      </c>
      <c r="O5" s="610" t="s">
        <v>423</v>
      </c>
      <c r="P5" s="608" t="s">
        <v>488</v>
      </c>
      <c r="Q5" s="199" t="s">
        <v>372</v>
      </c>
      <c r="R5" s="676" t="s">
        <v>421</v>
      </c>
      <c r="S5" s="610" t="s">
        <v>423</v>
      </c>
      <c r="T5" s="608" t="s">
        <v>491</v>
      </c>
      <c r="U5" s="199" t="s">
        <v>372</v>
      </c>
      <c r="V5" s="676" t="s">
        <v>421</v>
      </c>
      <c r="W5" s="610" t="s">
        <v>423</v>
      </c>
      <c r="X5" s="608" t="s">
        <v>493</v>
      </c>
      <c r="Y5" s="652" t="s">
        <v>11</v>
      </c>
      <c r="Z5" s="653"/>
      <c r="AA5" s="653"/>
      <c r="AB5" s="653"/>
      <c r="AC5" s="654"/>
      <c r="AD5" s="624" t="s">
        <v>557</v>
      </c>
      <c r="AE5" s="625"/>
      <c r="AF5" s="625"/>
      <c r="AG5" s="626"/>
    </row>
    <row r="6" spans="1:33" ht="57" customHeight="1" x14ac:dyDescent="0.25">
      <c r="A6" s="535"/>
      <c r="B6" s="535"/>
      <c r="C6" s="535"/>
      <c r="D6" s="535"/>
      <c r="E6" s="535"/>
      <c r="F6" s="643"/>
      <c r="G6" s="535"/>
      <c r="H6" s="535"/>
      <c r="I6" s="535"/>
      <c r="J6" s="535"/>
      <c r="K6" s="535"/>
      <c r="L6" s="718"/>
      <c r="M6" s="163" t="s">
        <v>299</v>
      </c>
      <c r="N6" s="677"/>
      <c r="O6" s="611"/>
      <c r="P6" s="609"/>
      <c r="Q6" s="163" t="s">
        <v>288</v>
      </c>
      <c r="R6" s="677"/>
      <c r="S6" s="611"/>
      <c r="T6" s="609"/>
      <c r="U6" s="163" t="s">
        <v>313</v>
      </c>
      <c r="V6" s="677"/>
      <c r="W6" s="611"/>
      <c r="X6" s="609"/>
      <c r="Y6" s="176" t="s">
        <v>373</v>
      </c>
      <c r="Z6" s="5" t="s">
        <v>199</v>
      </c>
      <c r="AA6" s="5" t="s">
        <v>200</v>
      </c>
      <c r="AB6" s="5" t="s">
        <v>201</v>
      </c>
      <c r="AC6" s="177" t="s">
        <v>20</v>
      </c>
      <c r="AD6" s="181" t="s">
        <v>202</v>
      </c>
      <c r="AE6" s="33" t="s">
        <v>203</v>
      </c>
      <c r="AF6" s="33" t="s">
        <v>204</v>
      </c>
      <c r="AG6" s="182" t="s">
        <v>205</v>
      </c>
    </row>
    <row r="7" spans="1:33" ht="96.75" customHeight="1" x14ac:dyDescent="0.25">
      <c r="A7" s="722" t="s">
        <v>346</v>
      </c>
      <c r="B7" s="722" t="s">
        <v>347</v>
      </c>
      <c r="C7" s="722" t="s">
        <v>367</v>
      </c>
      <c r="D7" s="722" t="s">
        <v>368</v>
      </c>
      <c r="E7" s="722" t="s">
        <v>357</v>
      </c>
      <c r="F7" s="737">
        <f>+'PLAN DESARROLLO'!E17</f>
        <v>0.7</v>
      </c>
      <c r="G7" s="111" t="s">
        <v>716</v>
      </c>
      <c r="H7" s="83" t="s">
        <v>717</v>
      </c>
      <c r="I7" s="74">
        <v>0.9</v>
      </c>
      <c r="J7" s="74" t="s">
        <v>499</v>
      </c>
      <c r="K7" s="261" t="s">
        <v>643</v>
      </c>
      <c r="L7" s="198" t="s">
        <v>371</v>
      </c>
      <c r="M7" s="164"/>
      <c r="N7" s="57"/>
      <c r="O7" s="57"/>
      <c r="P7" s="238">
        <f>+M7</f>
        <v>0</v>
      </c>
      <c r="Q7" s="164"/>
      <c r="R7" s="57"/>
      <c r="S7" s="57"/>
      <c r="T7" s="238">
        <f>+Q7</f>
        <v>0</v>
      </c>
      <c r="U7" s="164"/>
      <c r="V7" s="57"/>
      <c r="W7" s="57"/>
      <c r="X7" s="238">
        <f>+U7</f>
        <v>0</v>
      </c>
      <c r="Y7" s="178" t="s">
        <v>226</v>
      </c>
      <c r="Z7" s="26">
        <f>IFERROR(IF(P8&gt;=0.9,1,(P8*100%)/0.9),"-")</f>
        <v>0</v>
      </c>
      <c r="AA7" s="26">
        <f>IFERROR(IF(T7&gt;=0.9,1,(T7*100%)/0.9),"-")</f>
        <v>0</v>
      </c>
      <c r="AB7" s="26">
        <f>IFERROR(IF(X7&gt;=0.9,1,(X7*100%)/0.9),"-")</f>
        <v>0</v>
      </c>
      <c r="AC7" s="179">
        <f>IFERROR(AVERAGE(Y7:AB7),"-")</f>
        <v>0</v>
      </c>
      <c r="AD7" s="183"/>
      <c r="AE7" s="35"/>
      <c r="AF7" s="36"/>
      <c r="AG7" s="184"/>
    </row>
    <row r="8" spans="1:33" ht="97.5" customHeight="1" x14ac:dyDescent="0.25">
      <c r="A8" s="696"/>
      <c r="B8" s="696"/>
      <c r="C8" s="696"/>
      <c r="D8" s="696"/>
      <c r="E8" s="696"/>
      <c r="F8" s="738"/>
      <c r="G8" s="111" t="s">
        <v>718</v>
      </c>
      <c r="H8" s="83" t="s">
        <v>719</v>
      </c>
      <c r="I8" s="74">
        <v>0.9</v>
      </c>
      <c r="J8" s="74" t="s">
        <v>499</v>
      </c>
      <c r="K8" s="261" t="s">
        <v>643</v>
      </c>
      <c r="L8" s="198" t="s">
        <v>371</v>
      </c>
      <c r="M8" s="164"/>
      <c r="N8" s="57"/>
      <c r="O8" s="7"/>
      <c r="P8" s="238">
        <f>+M8</f>
        <v>0</v>
      </c>
      <c r="Q8" s="164"/>
      <c r="R8" s="57"/>
      <c r="S8" s="7"/>
      <c r="T8" s="238">
        <f>+Q8</f>
        <v>0</v>
      </c>
      <c r="U8" s="164"/>
      <c r="V8" s="57"/>
      <c r="W8" s="7"/>
      <c r="X8" s="238">
        <f>+U8</f>
        <v>0</v>
      </c>
      <c r="Y8" s="178" t="s">
        <v>226</v>
      </c>
      <c r="Z8" s="26">
        <f t="shared" ref="Z8" si="0">IFERROR(IF(P9&gt;=0.9,1,(P9*100%)/0.9),"-")</f>
        <v>0</v>
      </c>
      <c r="AA8" s="26">
        <f>IFERROR(IF(T8&gt;=0.9,1,(T8*100%)/0.9),"-")</f>
        <v>0</v>
      </c>
      <c r="AB8" s="26">
        <f>IFERROR(IF(X8&gt;=0.9,1,(X8*100%)/0.9),"-")</f>
        <v>0</v>
      </c>
      <c r="AC8" s="179">
        <f>IFERROR(AVERAGE(Y8:AB8),"-")</f>
        <v>0</v>
      </c>
      <c r="AD8" s="185"/>
      <c r="AE8" s="30"/>
      <c r="AF8" s="28"/>
      <c r="AG8" s="186"/>
    </row>
    <row r="9" spans="1:33" ht="104.25" customHeight="1" x14ac:dyDescent="0.25">
      <c r="A9" s="696"/>
      <c r="B9" s="696"/>
      <c r="C9" s="696"/>
      <c r="D9" s="696"/>
      <c r="E9" s="696"/>
      <c r="F9" s="738"/>
      <c r="G9" s="111" t="s">
        <v>370</v>
      </c>
      <c r="H9" s="83" t="s">
        <v>369</v>
      </c>
      <c r="I9" s="74">
        <v>0.9</v>
      </c>
      <c r="J9" s="74" t="s">
        <v>499</v>
      </c>
      <c r="K9" s="261" t="s">
        <v>643</v>
      </c>
      <c r="L9" s="198" t="s">
        <v>371</v>
      </c>
      <c r="M9" s="164"/>
      <c r="N9" s="57"/>
      <c r="O9" s="7"/>
      <c r="P9" s="238">
        <f>+M9</f>
        <v>0</v>
      </c>
      <c r="Q9" s="164"/>
      <c r="R9" s="57"/>
      <c r="S9" s="7"/>
      <c r="T9" s="238">
        <f>+Q9</f>
        <v>0</v>
      </c>
      <c r="U9" s="164"/>
      <c r="V9" s="57"/>
      <c r="W9" s="7"/>
      <c r="X9" s="238">
        <f>+U9</f>
        <v>0</v>
      </c>
      <c r="Y9" s="178" t="s">
        <v>226</v>
      </c>
      <c r="Z9" s="26">
        <f>IFERROR(IF(P10&gt;=0.9,1,(P10*100%)/0.9),"-")</f>
        <v>0</v>
      </c>
      <c r="AA9" s="26">
        <f>IFERROR(IF(T9&gt;=0.9,1,(T9*100%)/0.9),"-")</f>
        <v>0</v>
      </c>
      <c r="AB9" s="26">
        <f>IFERROR(IF(X9&gt;=0.9,1,(X9*100%)/0.9),"-")</f>
        <v>0</v>
      </c>
      <c r="AC9" s="179">
        <f t="shared" ref="AC9:AC11" si="1">IFERROR(AVERAGE(Y9:AB9),"-")</f>
        <v>0</v>
      </c>
      <c r="AD9" s="185"/>
      <c r="AE9" s="30"/>
      <c r="AF9" s="28"/>
      <c r="AG9" s="186"/>
    </row>
    <row r="10" spans="1:33" ht="62.25" customHeight="1" x14ac:dyDescent="0.25">
      <c r="A10" s="696"/>
      <c r="B10" s="696"/>
      <c r="C10" s="696"/>
      <c r="D10" s="696"/>
      <c r="E10" s="696"/>
      <c r="F10" s="738"/>
      <c r="G10" s="111" t="s">
        <v>377</v>
      </c>
      <c r="H10" s="83" t="s">
        <v>378</v>
      </c>
      <c r="I10" s="74" t="s">
        <v>685</v>
      </c>
      <c r="J10" s="74" t="s">
        <v>509</v>
      </c>
      <c r="K10" s="261" t="s">
        <v>644</v>
      </c>
      <c r="L10" s="198" t="s">
        <v>371</v>
      </c>
      <c r="M10" s="164"/>
      <c r="N10" s="57"/>
      <c r="O10" s="7"/>
      <c r="P10" s="238">
        <f>+M10</f>
        <v>0</v>
      </c>
      <c r="Q10" s="164"/>
      <c r="R10" s="57"/>
      <c r="S10" s="7"/>
      <c r="T10" s="238">
        <f>+Q10</f>
        <v>0</v>
      </c>
      <c r="U10" s="164"/>
      <c r="V10" s="57"/>
      <c r="W10" s="7"/>
      <c r="X10" s="238">
        <f>+U10</f>
        <v>0</v>
      </c>
      <c r="Y10" s="178" t="s">
        <v>226</v>
      </c>
      <c r="Z10" s="26">
        <f>IFERROR(IF(P10&gt;=0.9,1,(P10*100%)/0.9),"-")</f>
        <v>0</v>
      </c>
      <c r="AA10" s="26">
        <f>IFERROR(IF(T10&gt;=0.9,1,(T10*100%)/0.9),"-")</f>
        <v>0</v>
      </c>
      <c r="AB10" s="26">
        <f>IFERROR(IF(X10&gt;=0.9,1,(X10*100%)/0.9),"-")</f>
        <v>0</v>
      </c>
      <c r="AC10" s="179">
        <f t="shared" si="1"/>
        <v>0</v>
      </c>
      <c r="AD10" s="185"/>
      <c r="AE10" s="30"/>
      <c r="AF10" s="28"/>
      <c r="AG10" s="186"/>
    </row>
    <row r="11" spans="1:33" ht="60.75" customHeight="1" x14ac:dyDescent="0.25">
      <c r="A11" s="696"/>
      <c r="B11" s="696"/>
      <c r="C11" s="696"/>
      <c r="D11" s="696"/>
      <c r="E11" s="696"/>
      <c r="F11" s="738"/>
      <c r="G11" s="111" t="s">
        <v>379</v>
      </c>
      <c r="H11" s="83" t="s">
        <v>119</v>
      </c>
      <c r="I11" s="74" t="s">
        <v>685</v>
      </c>
      <c r="J11" s="74" t="s">
        <v>509</v>
      </c>
      <c r="K11" s="261" t="s">
        <v>644</v>
      </c>
      <c r="L11" s="198" t="s">
        <v>371</v>
      </c>
      <c r="M11" s="164"/>
      <c r="N11" s="57"/>
      <c r="O11" s="7"/>
      <c r="P11" s="238">
        <f>+M11</f>
        <v>0</v>
      </c>
      <c r="Q11" s="457"/>
      <c r="R11" s="57"/>
      <c r="S11" s="7"/>
      <c r="T11" s="238">
        <f>+Q11</f>
        <v>0</v>
      </c>
      <c r="U11" s="164"/>
      <c r="V11" s="57"/>
      <c r="W11" s="7"/>
      <c r="X11" s="238">
        <f>+U11</f>
        <v>0</v>
      </c>
      <c r="Y11" s="178" t="s">
        <v>226</v>
      </c>
      <c r="Z11" s="26">
        <f>IFERROR(IF(P11&gt;=0.9,1,(P11*100%)/0.9),"-")</f>
        <v>0</v>
      </c>
      <c r="AA11" s="26">
        <f>IFERROR(IF(T11&gt;=0.9,1,(T11*100%)/0.9),"-")</f>
        <v>0</v>
      </c>
      <c r="AB11" s="26">
        <f>IFERROR(IF(X11&gt;=0.9,1,(X11*100%)/0.9),"-")</f>
        <v>0</v>
      </c>
      <c r="AC11" s="179">
        <f t="shared" si="1"/>
        <v>0</v>
      </c>
      <c r="AD11" s="185"/>
      <c r="AE11" s="30"/>
      <c r="AF11" s="28"/>
      <c r="AG11" s="215"/>
    </row>
    <row r="12" spans="1:33" ht="26.25" thickBot="1" x14ac:dyDescent="0.3">
      <c r="A12" s="740" t="s">
        <v>294</v>
      </c>
      <c r="B12" s="740"/>
      <c r="C12" s="740"/>
      <c r="D12" s="740"/>
      <c r="E12" s="740"/>
      <c r="F12" s="740"/>
      <c r="G12" s="740"/>
      <c r="H12" s="740"/>
      <c r="I12" s="740"/>
      <c r="J12" s="740"/>
      <c r="K12" s="741"/>
      <c r="L12" s="741"/>
      <c r="M12" s="363" t="str">
        <f>+IFERROR(AVERAGE(M7:M11),"-")</f>
        <v>-</v>
      </c>
      <c r="N12" s="169"/>
      <c r="O12" s="130"/>
      <c r="P12" s="616"/>
      <c r="Q12" s="458" t="str">
        <f>+IFERROR(AVERAGE(Q7:Q11),"-")</f>
        <v>-</v>
      </c>
      <c r="R12" s="169"/>
      <c r="S12" s="130"/>
      <c r="T12" s="616">
        <f>IFERROR(AVERAGE(T7:T11),"-")</f>
        <v>0</v>
      </c>
      <c r="U12" s="338" t="str">
        <f>+IFERROR(AVERAGE(U7:U11),"-")</f>
        <v>-</v>
      </c>
      <c r="V12" s="169"/>
      <c r="W12" s="130"/>
      <c r="X12" s="707">
        <f>IFERROR(AVERAGE(X7:X11),"-")</f>
        <v>0</v>
      </c>
      <c r="Y12" s="192" t="str">
        <f t="shared" ref="Y12:AB12" si="2">IFERROR(AVERAGE(Y7:Y11),"-")</f>
        <v>-</v>
      </c>
      <c r="Z12" s="193">
        <f>IFERROR(AVERAGE(Z7:Z11),"-")</f>
        <v>0</v>
      </c>
      <c r="AA12" s="193">
        <f t="shared" si="2"/>
        <v>0</v>
      </c>
      <c r="AB12" s="59">
        <f t="shared" si="2"/>
        <v>0</v>
      </c>
      <c r="AC12" s="698">
        <f>IFERROR(AVERAGE(AC7:AC11),"-")</f>
        <v>0</v>
      </c>
      <c r="AD12" s="187"/>
      <c r="AE12" s="188"/>
      <c r="AF12" s="189"/>
      <c r="AG12" s="190"/>
    </row>
    <row r="13" spans="1:33" ht="27" thickBot="1" x14ac:dyDescent="0.3">
      <c r="A13" s="29"/>
      <c r="B13" s="29"/>
      <c r="C13" s="29"/>
      <c r="D13" s="29"/>
      <c r="E13" s="29"/>
      <c r="F13" s="38"/>
      <c r="G13" s="29"/>
      <c r="H13" s="29"/>
      <c r="I13" s="29"/>
      <c r="J13" s="29"/>
      <c r="K13" s="29"/>
      <c r="L13" s="29"/>
      <c r="M13" s="203"/>
      <c r="N13" s="202"/>
      <c r="O13" s="209" t="s">
        <v>314</v>
      </c>
      <c r="P13" s="617"/>
      <c r="Q13" s="201"/>
      <c r="R13" s="202"/>
      <c r="S13" s="209" t="s">
        <v>297</v>
      </c>
      <c r="T13" s="617"/>
      <c r="U13" s="201"/>
      <c r="V13" s="202"/>
      <c r="W13" s="209" t="s">
        <v>298</v>
      </c>
      <c r="X13" s="671"/>
      <c r="Y13" s="194"/>
      <c r="Z13" s="195"/>
      <c r="AA13" s="196"/>
      <c r="AB13" s="180" t="s">
        <v>295</v>
      </c>
      <c r="AC13" s="699"/>
      <c r="AD13" s="29"/>
      <c r="AE13" s="29"/>
      <c r="AF13" s="29"/>
      <c r="AG13" s="29"/>
    </row>
    <row r="14" spans="1:33" ht="45" x14ac:dyDescent="0.25">
      <c r="G14" s="631" t="s">
        <v>580</v>
      </c>
      <c r="H14" s="632"/>
      <c r="I14" s="632"/>
      <c r="J14" s="633"/>
      <c r="K14" s="295" t="s">
        <v>577</v>
      </c>
      <c r="L14" s="313" t="s">
        <v>578</v>
      </c>
      <c r="M14" s="296" t="s">
        <v>582</v>
      </c>
      <c r="N14" s="296" t="s">
        <v>583</v>
      </c>
      <c r="O14" s="297" t="s">
        <v>581</v>
      </c>
      <c r="Q14" s="296" t="s">
        <v>582</v>
      </c>
      <c r="R14" s="296" t="s">
        <v>729</v>
      </c>
      <c r="S14" s="296" t="s">
        <v>583</v>
      </c>
      <c r="T14" s="297" t="s">
        <v>581</v>
      </c>
      <c r="U14" s="296" t="s">
        <v>582</v>
      </c>
      <c r="V14" s="296" t="s">
        <v>729</v>
      </c>
      <c r="W14" s="296" t="s">
        <v>733</v>
      </c>
      <c r="X14" s="296" t="s">
        <v>583</v>
      </c>
      <c r="Y14" s="297" t="s">
        <v>581</v>
      </c>
    </row>
    <row r="15" spans="1:33" x14ac:dyDescent="0.25">
      <c r="G15" s="726" t="s">
        <v>716</v>
      </c>
      <c r="H15" s="727"/>
      <c r="I15" s="727"/>
      <c r="J15" s="728"/>
      <c r="K15" s="299">
        <f>+I7</f>
        <v>0.9</v>
      </c>
      <c r="L15" s="509">
        <v>0.1</v>
      </c>
      <c r="M15" s="330">
        <f>+P7</f>
        <v>0</v>
      </c>
      <c r="N15" s="330">
        <f>IFERROR((M15*100%)/K15,"-")</f>
        <v>0</v>
      </c>
      <c r="O15" s="315">
        <f>IFERROR(+IF(N15=100%,L15,(+N15*L15)),"-")</f>
        <v>0</v>
      </c>
      <c r="Q15" s="330">
        <f>+T7</f>
        <v>0</v>
      </c>
      <c r="R15" s="330">
        <f>+M15</f>
        <v>0</v>
      </c>
      <c r="S15" s="330">
        <f>IFERROR(IF(AVERAGE(Q15,R15)&gt;=0.9,1,(AVERAGE(Q15,R15)*100%)/0.9),"-")</f>
        <v>0</v>
      </c>
      <c r="T15" s="315">
        <f>IFERROR(+IF(S15=100%,L15,(+S15*L15)),"-")</f>
        <v>0</v>
      </c>
      <c r="U15" s="330">
        <f>+X7</f>
        <v>0</v>
      </c>
      <c r="V15" s="330">
        <f>+M15</f>
        <v>0</v>
      </c>
      <c r="W15" s="330">
        <f>+Q15</f>
        <v>0</v>
      </c>
      <c r="X15" s="330">
        <f>IFERROR(IF(AVERAGE(W15,W15)&gt;=0.9,1,(AVERAGE(W15:W15)*100%)/0.9),"-")</f>
        <v>0</v>
      </c>
      <c r="Y15" s="315">
        <f>IFERROR(+IF(X15=100%,L15,(+X15*L15)),"-")</f>
        <v>0</v>
      </c>
    </row>
    <row r="16" spans="1:33" x14ac:dyDescent="0.25">
      <c r="G16" s="726" t="s">
        <v>718</v>
      </c>
      <c r="H16" s="727"/>
      <c r="I16" s="727"/>
      <c r="J16" s="728"/>
      <c r="K16" s="299">
        <f>+I8</f>
        <v>0.9</v>
      </c>
      <c r="L16" s="509">
        <v>0.1</v>
      </c>
      <c r="M16" s="330">
        <f>+P8</f>
        <v>0</v>
      </c>
      <c r="N16" s="330">
        <f>IFERROR((M16*100%)/K16,"-")</f>
        <v>0</v>
      </c>
      <c r="O16" s="315">
        <f>IFERROR(+IF(N16=100%,L16,(+N16*L16)),"-")</f>
        <v>0</v>
      </c>
      <c r="Q16" s="330">
        <f>+T8</f>
        <v>0</v>
      </c>
      <c r="R16" s="330">
        <f>+M16</f>
        <v>0</v>
      </c>
      <c r="S16" s="330">
        <f>IFERROR(IF(AVERAGE(Q16,R16)&gt;=0.9,1,(AVERAGE(Q16,R16)*100%)/0.9),"-")</f>
        <v>0</v>
      </c>
      <c r="T16" s="315">
        <f>IFERROR(+IF(S16=100%,L16,(+S16*L16)),"-")</f>
        <v>0</v>
      </c>
      <c r="U16" s="330">
        <f>+X8</f>
        <v>0</v>
      </c>
      <c r="V16" s="330">
        <f>+M16</f>
        <v>0</v>
      </c>
      <c r="W16" s="330">
        <f>+Q16</f>
        <v>0</v>
      </c>
      <c r="X16" s="330">
        <f>IFERROR(IF(AVERAGE(W16,W16)&gt;=0.9,1,(AVERAGE(W16:W16)*100%)/0.9),"-")</f>
        <v>0</v>
      </c>
      <c r="Y16" s="315">
        <f>IFERROR(+IF(X16=100%,L16,(+X16*L16)),"-")</f>
        <v>0</v>
      </c>
    </row>
    <row r="17" spans="7:25" x14ac:dyDescent="0.25">
      <c r="G17" s="726" t="s">
        <v>370</v>
      </c>
      <c r="H17" s="727"/>
      <c r="I17" s="727"/>
      <c r="J17" s="728"/>
      <c r="K17" s="299">
        <f>+I9</f>
        <v>0.9</v>
      </c>
      <c r="L17" s="509">
        <v>0.1</v>
      </c>
      <c r="M17" s="330">
        <f>+P9</f>
        <v>0</v>
      </c>
      <c r="N17" s="330">
        <f>IFERROR(IF(P10&gt;=0.9,1,(P10*100%)/0.9),"-")</f>
        <v>0</v>
      </c>
      <c r="O17" s="315">
        <f>IFERROR(+IF(N17=100%,L17,(+N17*L17)),"-")</f>
        <v>0</v>
      </c>
      <c r="Q17" s="330">
        <f>+T9</f>
        <v>0</v>
      </c>
      <c r="R17" s="330">
        <f>+M17</f>
        <v>0</v>
      </c>
      <c r="S17" s="330">
        <f>IFERROR(IF(AVERAGE(Q17,R17)&gt;=0.9,1,(AVERAGE(Q17,R17)*100%)/0.9),"-")</f>
        <v>0</v>
      </c>
      <c r="T17" s="315">
        <f>IFERROR(+IF(S17=100%,L17,(+S17*L17)),"-")</f>
        <v>0</v>
      </c>
      <c r="U17" s="330">
        <f>+X9</f>
        <v>0</v>
      </c>
      <c r="V17" s="330">
        <f>+M17</f>
        <v>0</v>
      </c>
      <c r="W17" s="330">
        <f>+Q17</f>
        <v>0</v>
      </c>
      <c r="X17" s="330">
        <f>IFERROR(IF(AVERAGE(W17,W17)&gt;=0.9,1,(AVERAGE(W17:W17)*100%)/0.9),"-")</f>
        <v>0</v>
      </c>
      <c r="Y17" s="315">
        <f>IFERROR(+IF(X17=100%,L17,(+X17*L17)),"-")</f>
        <v>0</v>
      </c>
    </row>
    <row r="18" spans="7:25" x14ac:dyDescent="0.25">
      <c r="G18" s="726" t="s">
        <v>377</v>
      </c>
      <c r="H18" s="727"/>
      <c r="I18" s="727"/>
      <c r="J18" s="728"/>
      <c r="K18" s="299" t="str">
        <f>+I10</f>
        <v>&gt;90%</v>
      </c>
      <c r="L18" s="509">
        <v>0.2</v>
      </c>
      <c r="M18" s="330">
        <f>+P10</f>
        <v>0</v>
      </c>
      <c r="N18" s="330">
        <f>IFERROR(IF(M18&gt;=0.9,1,(M18*100%)/0.9),"-")</f>
        <v>0</v>
      </c>
      <c r="O18" s="315">
        <f>IFERROR(+IF(N18=100%,L18,(+N18*L18)),"-")</f>
        <v>0</v>
      </c>
      <c r="Q18" s="330">
        <f>+T10</f>
        <v>0</v>
      </c>
      <c r="R18" s="330">
        <f>+M18</f>
        <v>0</v>
      </c>
      <c r="S18" s="330">
        <f>IFERROR(IF(AVERAGE(Q18,R18)&gt;=0.9,1,(AVERAGE(Q18,R18)*100%)/0.9),"-")</f>
        <v>0</v>
      </c>
      <c r="T18" s="315">
        <f>IFERROR(+IF(S18=100%,L18,(+S18*L18)),"-")</f>
        <v>0</v>
      </c>
      <c r="U18" s="330">
        <f>+X10</f>
        <v>0</v>
      </c>
      <c r="V18" s="330">
        <f>+M18</f>
        <v>0</v>
      </c>
      <c r="W18" s="330">
        <f>+Q18</f>
        <v>0</v>
      </c>
      <c r="X18" s="330">
        <f>IFERROR(IF(AVERAGE(W18,W18)&gt;=0.9,1,(AVERAGE(W18:W18)*100%)/0.9),"-")</f>
        <v>0</v>
      </c>
      <c r="Y18" s="315">
        <f>IFERROR(+IF(X18=100%,L18,(+X18*L18)),"-")</f>
        <v>0</v>
      </c>
    </row>
    <row r="19" spans="7:25" x14ac:dyDescent="0.25">
      <c r="G19" s="726" t="s">
        <v>379</v>
      </c>
      <c r="H19" s="727"/>
      <c r="I19" s="727"/>
      <c r="J19" s="728"/>
      <c r="K19" s="299" t="str">
        <f>+I11</f>
        <v>&gt;90%</v>
      </c>
      <c r="L19" s="509">
        <v>0.2</v>
      </c>
      <c r="M19" s="330">
        <f>+P11</f>
        <v>0</v>
      </c>
      <c r="N19" s="330">
        <f>IFERROR(IF(M19&gt;=0.9,1,(M19*100%)/0.9),"-")</f>
        <v>0</v>
      </c>
      <c r="O19" s="315">
        <f>IFERROR(+IF(N19=100%,L19,(+N19*L19)),"-")</f>
        <v>0</v>
      </c>
      <c r="Q19" s="330">
        <f>+T11</f>
        <v>0</v>
      </c>
      <c r="R19" s="330">
        <f>+M19</f>
        <v>0</v>
      </c>
      <c r="S19" s="330">
        <f>IFERROR(IF(AVERAGE(Q19,R19)&gt;=0.9,1,(AVERAGE(Q19,R19)*100%)/0.9),"-")</f>
        <v>0</v>
      </c>
      <c r="T19" s="315">
        <f>IFERROR(+IF(S19=100%,L19,(+S19*L19)),"-")</f>
        <v>0</v>
      </c>
      <c r="U19" s="330">
        <f>+X11</f>
        <v>0</v>
      </c>
      <c r="V19" s="330">
        <f>+M19</f>
        <v>0</v>
      </c>
      <c r="W19" s="330">
        <f>+Q19</f>
        <v>0</v>
      </c>
      <c r="X19" s="330">
        <f>IFERROR(IF(AVERAGE(W19,W19)&gt;=0.9,1,(AVERAGE(W19:W19)*100%)/0.9),"-")</f>
        <v>0</v>
      </c>
      <c r="Y19" s="315">
        <f>IFERROR(+IF(X19=100%,L19,(+X19*L19)),"-")</f>
        <v>0</v>
      </c>
    </row>
    <row r="20" spans="7:25" ht="21" x14ac:dyDescent="0.35">
      <c r="K20" s="406"/>
      <c r="L20" s="337">
        <f>SUM(L15:L19)</f>
        <v>0.7</v>
      </c>
      <c r="O20" s="381">
        <f>IFERROR(SUM(O15:O19),"-")</f>
        <v>0</v>
      </c>
      <c r="T20" s="381">
        <f>IFERROR(SUM(T15:T19),"-")</f>
        <v>0</v>
      </c>
      <c r="Y20" s="486">
        <f>IFERROR(SUM(Y15:Y19),"-")</f>
        <v>0</v>
      </c>
    </row>
  </sheetData>
  <mergeCells count="47">
    <mergeCell ref="A7:A11"/>
    <mergeCell ref="G14:J14"/>
    <mergeCell ref="G15:J15"/>
    <mergeCell ref="G16:J16"/>
    <mergeCell ref="G17:J17"/>
    <mergeCell ref="B7:B11"/>
    <mergeCell ref="C7:C11"/>
    <mergeCell ref="D7:D11"/>
    <mergeCell ref="E7:E11"/>
    <mergeCell ref="A5:A6"/>
    <mergeCell ref="F7:F11"/>
    <mergeCell ref="F5:F6"/>
    <mergeCell ref="G5:G6"/>
    <mergeCell ref="AC12:AC13"/>
    <mergeCell ref="A12:L12"/>
    <mergeCell ref="P12:P13"/>
    <mergeCell ref="T12:T13"/>
    <mergeCell ref="X12:X13"/>
    <mergeCell ref="N5:N6"/>
    <mergeCell ref="O5:O6"/>
    <mergeCell ref="R5:R6"/>
    <mergeCell ref="S5:S6"/>
    <mergeCell ref="W5:W6"/>
    <mergeCell ref="V5:V6"/>
    <mergeCell ref="K5:K6"/>
    <mergeCell ref="AE1:AG2"/>
    <mergeCell ref="A2:B3"/>
    <mergeCell ref="C2:AD3"/>
    <mergeCell ref="AE3:AG3"/>
    <mergeCell ref="A4:D4"/>
    <mergeCell ref="A1:B1"/>
    <mergeCell ref="C1:AD1"/>
    <mergeCell ref="AD5:AG5"/>
    <mergeCell ref="H5:H6"/>
    <mergeCell ref="I5:I6"/>
    <mergeCell ref="L5:L6"/>
    <mergeCell ref="E5:E6"/>
    <mergeCell ref="J5:J6"/>
    <mergeCell ref="P5:P6"/>
    <mergeCell ref="T5:T6"/>
    <mergeCell ref="X5:X6"/>
    <mergeCell ref="Y5:AC5"/>
    <mergeCell ref="G18:J18"/>
    <mergeCell ref="G19:J19"/>
    <mergeCell ref="B5:B6"/>
    <mergeCell ref="C5:C6"/>
    <mergeCell ref="D5:D6"/>
  </mergeCells>
  <conditionalFormatting sqref="Y7:Y11 AC8:AC12">
    <cfRule type="cellIs" dxfId="38" priority="7" operator="lessThan">
      <formula>0.6</formula>
    </cfRule>
    <cfRule type="cellIs" dxfId="37" priority="8" operator="between">
      <formula>60%</formula>
      <formula>79%</formula>
    </cfRule>
    <cfRule type="cellIs" dxfId="36" priority="9" operator="between">
      <formula>80%</formula>
      <formula>100%</formula>
    </cfRule>
  </conditionalFormatting>
  <conditionalFormatting sqref="AA7:AC7 Z9:AB11 AA8:AB8 Z7:Z8">
    <cfRule type="cellIs" dxfId="35" priority="1" operator="lessThan">
      <formula>0.6</formula>
    </cfRule>
    <cfRule type="cellIs" dxfId="34" priority="2" operator="between">
      <formula>60%</formula>
      <formula>79%</formula>
    </cfRule>
    <cfRule type="cellIs" dxfId="33" priority="3" operator="between">
      <formula>80%</formula>
      <formula>100%</formula>
    </cfRule>
  </conditionalFormatting>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P17"/>
  <sheetViews>
    <sheetView topLeftCell="A5" zoomScale="70" zoomScaleNormal="70" workbookViewId="0">
      <selection activeCell="Q18" sqref="Q18"/>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140625" customWidth="1"/>
    <col min="7" max="7" width="21.7109375" customWidth="1"/>
    <col min="8" max="8" width="25.28515625" customWidth="1"/>
    <col min="9" max="11" width="14.42578125" customWidth="1"/>
    <col min="12" max="12" width="16.7109375" customWidth="1"/>
    <col min="13" max="16" width="19.42578125" customWidth="1"/>
    <col min="17" max="17" width="25.7109375" customWidth="1"/>
    <col min="18" max="18" width="34.42578125" customWidth="1"/>
    <col min="19" max="23" width="19.42578125" customWidth="1"/>
    <col min="24" max="24" width="29.85546875" customWidth="1"/>
    <col min="25" max="25" width="32.140625" customWidth="1"/>
    <col min="26" max="30" width="19.42578125" customWidth="1"/>
    <col min="31" max="31" width="29.85546875" customWidth="1"/>
    <col min="32" max="32" width="29.28515625" customWidth="1"/>
    <col min="33" max="33" width="19.42578125" customWidth="1"/>
    <col min="34" max="38" width="17.7109375" customWidth="1"/>
    <col min="39" max="42" width="26.5703125" customWidth="1"/>
  </cols>
  <sheetData>
    <row r="1" spans="1:42"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612"/>
      <c r="AO1" s="612"/>
      <c r="AP1" s="612"/>
    </row>
    <row r="2" spans="1:42"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612"/>
      <c r="AO2" s="612"/>
      <c r="AP2" s="612"/>
    </row>
    <row r="3" spans="1:42"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613" t="s">
        <v>772</v>
      </c>
      <c r="AO3" s="613"/>
      <c r="AP3" s="613"/>
    </row>
    <row r="4" spans="1:42" ht="15.75" thickBot="1" x14ac:dyDescent="0.3">
      <c r="A4" s="627" t="s">
        <v>193</v>
      </c>
      <c r="B4" s="627"/>
      <c r="C4" s="627"/>
      <c r="D4" s="627"/>
      <c r="E4" s="29"/>
      <c r="F4" s="38"/>
      <c r="G4" s="29"/>
      <c r="H4" s="29"/>
      <c r="I4" s="29"/>
      <c r="J4" s="29"/>
      <c r="K4" s="29"/>
      <c r="L4" s="29"/>
      <c r="M4" s="56"/>
      <c r="N4" s="29"/>
      <c r="O4" s="29"/>
      <c r="P4" s="29"/>
      <c r="Q4" s="29"/>
      <c r="R4" s="29"/>
      <c r="S4" s="29"/>
      <c r="T4" s="56"/>
      <c r="U4" s="29"/>
      <c r="V4" s="29"/>
      <c r="W4" s="29"/>
      <c r="X4" s="29"/>
      <c r="Y4" s="29"/>
      <c r="Z4" s="29"/>
      <c r="AA4" s="56"/>
      <c r="AB4" s="29"/>
      <c r="AC4" s="29"/>
      <c r="AD4" s="29"/>
      <c r="AE4" s="29"/>
      <c r="AF4" s="29"/>
      <c r="AG4" s="29"/>
      <c r="AH4" s="29"/>
      <c r="AI4" s="29"/>
      <c r="AJ4" s="29"/>
      <c r="AK4" s="29"/>
      <c r="AL4" s="29"/>
      <c r="AM4" s="29"/>
      <c r="AN4" s="29"/>
      <c r="AO4" s="29"/>
      <c r="AP4" s="29"/>
    </row>
    <row r="5" spans="1:42" ht="57" customHeight="1" x14ac:dyDescent="0.25">
      <c r="A5" s="606" t="s">
        <v>1</v>
      </c>
      <c r="B5" s="594" t="s">
        <v>3</v>
      </c>
      <c r="C5" s="594" t="s">
        <v>194</v>
      </c>
      <c r="D5" s="594" t="s">
        <v>195</v>
      </c>
      <c r="E5" s="594" t="s">
        <v>196</v>
      </c>
      <c r="F5" s="642" t="s">
        <v>742</v>
      </c>
      <c r="G5" s="594" t="s">
        <v>228</v>
      </c>
      <c r="H5" s="594" t="s">
        <v>227</v>
      </c>
      <c r="I5" s="594" t="s">
        <v>8</v>
      </c>
      <c r="J5" s="594" t="s">
        <v>495</v>
      </c>
      <c r="K5" s="594" t="s">
        <v>519</v>
      </c>
      <c r="L5" s="640" t="s">
        <v>9</v>
      </c>
      <c r="M5" s="242" t="s">
        <v>386</v>
      </c>
      <c r="N5" s="243" t="s">
        <v>372</v>
      </c>
      <c r="O5" s="216" t="s">
        <v>387</v>
      </c>
      <c r="P5" s="216" t="s">
        <v>388</v>
      </c>
      <c r="Q5" s="676" t="s">
        <v>421</v>
      </c>
      <c r="R5" s="610" t="s">
        <v>423</v>
      </c>
      <c r="S5" s="608" t="s">
        <v>488</v>
      </c>
      <c r="T5" s="199" t="s">
        <v>386</v>
      </c>
      <c r="U5" s="243" t="s">
        <v>372</v>
      </c>
      <c r="V5" s="216" t="s">
        <v>387</v>
      </c>
      <c r="W5" s="216" t="s">
        <v>388</v>
      </c>
      <c r="X5" s="676" t="s">
        <v>421</v>
      </c>
      <c r="Y5" s="610" t="s">
        <v>423</v>
      </c>
      <c r="Z5" s="608" t="s">
        <v>491</v>
      </c>
      <c r="AA5" s="199" t="s">
        <v>386</v>
      </c>
      <c r="AB5" s="243" t="s">
        <v>372</v>
      </c>
      <c r="AC5" s="216" t="s">
        <v>387</v>
      </c>
      <c r="AD5" s="216" t="s">
        <v>388</v>
      </c>
      <c r="AE5" s="676" t="s">
        <v>421</v>
      </c>
      <c r="AF5" s="610" t="s">
        <v>423</v>
      </c>
      <c r="AG5" s="608" t="s">
        <v>493</v>
      </c>
      <c r="AH5" s="652" t="s">
        <v>11</v>
      </c>
      <c r="AI5" s="653"/>
      <c r="AJ5" s="653"/>
      <c r="AK5" s="653"/>
      <c r="AL5" s="654"/>
      <c r="AM5" s="624" t="s">
        <v>557</v>
      </c>
      <c r="AN5" s="625"/>
      <c r="AO5" s="625"/>
      <c r="AP5" s="626"/>
    </row>
    <row r="6" spans="1:42" ht="57" customHeight="1" x14ac:dyDescent="0.25">
      <c r="A6" s="607"/>
      <c r="B6" s="535"/>
      <c r="C6" s="535"/>
      <c r="D6" s="535"/>
      <c r="E6" s="535"/>
      <c r="F6" s="643"/>
      <c r="G6" s="535"/>
      <c r="H6" s="535"/>
      <c r="I6" s="535"/>
      <c r="J6" s="535"/>
      <c r="K6" s="535"/>
      <c r="L6" s="641"/>
      <c r="M6" s="163" t="s">
        <v>299</v>
      </c>
      <c r="N6" s="4" t="s">
        <v>299</v>
      </c>
      <c r="O6" s="4" t="s">
        <v>299</v>
      </c>
      <c r="P6" s="4" t="s">
        <v>299</v>
      </c>
      <c r="Q6" s="677"/>
      <c r="R6" s="611"/>
      <c r="S6" s="609"/>
      <c r="T6" s="163" t="s">
        <v>288</v>
      </c>
      <c r="U6" s="4" t="s">
        <v>288</v>
      </c>
      <c r="V6" s="4" t="s">
        <v>288</v>
      </c>
      <c r="W6" s="4" t="s">
        <v>288</v>
      </c>
      <c r="X6" s="677"/>
      <c r="Y6" s="611"/>
      <c r="Z6" s="609"/>
      <c r="AA6" s="163" t="s">
        <v>313</v>
      </c>
      <c r="AB6" s="4" t="s">
        <v>313</v>
      </c>
      <c r="AC6" s="4" t="s">
        <v>313</v>
      </c>
      <c r="AD6" s="4" t="s">
        <v>313</v>
      </c>
      <c r="AE6" s="677"/>
      <c r="AF6" s="611"/>
      <c r="AG6" s="609"/>
      <c r="AH6" s="176" t="s">
        <v>198</v>
      </c>
      <c r="AI6" s="5" t="s">
        <v>199</v>
      </c>
      <c r="AJ6" s="5" t="s">
        <v>200</v>
      </c>
      <c r="AK6" s="5" t="s">
        <v>201</v>
      </c>
      <c r="AL6" s="177" t="s">
        <v>20</v>
      </c>
      <c r="AM6" s="181" t="s">
        <v>202</v>
      </c>
      <c r="AN6" s="33" t="s">
        <v>203</v>
      </c>
      <c r="AO6" s="33" t="s">
        <v>204</v>
      </c>
      <c r="AP6" s="182" t="s">
        <v>205</v>
      </c>
    </row>
    <row r="7" spans="1:42" ht="85.5" customHeight="1" x14ac:dyDescent="0.25">
      <c r="A7" s="732" t="s">
        <v>346</v>
      </c>
      <c r="B7" s="722" t="s">
        <v>347</v>
      </c>
      <c r="C7" s="722" t="s">
        <v>348</v>
      </c>
      <c r="D7" s="600" t="s">
        <v>375</v>
      </c>
      <c r="E7" s="722" t="s">
        <v>376</v>
      </c>
      <c r="F7" s="692">
        <f>+'PLAN DESARROLLO'!E18</f>
        <v>0.7</v>
      </c>
      <c r="G7" s="501" t="s">
        <v>381</v>
      </c>
      <c r="H7" s="154" t="s">
        <v>382</v>
      </c>
      <c r="I7" s="364" t="s">
        <v>132</v>
      </c>
      <c r="J7" s="220" t="s">
        <v>497</v>
      </c>
      <c r="K7" s="198" t="s">
        <v>645</v>
      </c>
      <c r="L7" s="244" t="s">
        <v>380</v>
      </c>
      <c r="M7" s="164"/>
      <c r="N7" s="57"/>
      <c r="O7" s="57"/>
      <c r="P7" s="57"/>
      <c r="Q7" s="57"/>
      <c r="R7" s="57"/>
      <c r="S7" s="165" t="e">
        <f>+AVERAGE(M7:P7)</f>
        <v>#DIV/0!</v>
      </c>
      <c r="T7" s="57"/>
      <c r="U7" s="57"/>
      <c r="V7" s="57"/>
      <c r="W7" s="57"/>
      <c r="X7" s="57"/>
      <c r="Y7" s="57"/>
      <c r="Z7" s="165" t="e">
        <f>(AVERAGE(T7:Y7))</f>
        <v>#DIV/0!</v>
      </c>
      <c r="AA7" s="164"/>
      <c r="AB7" s="57"/>
      <c r="AC7" s="57"/>
      <c r="AD7" s="57"/>
      <c r="AE7" s="57"/>
      <c r="AF7" s="57"/>
      <c r="AG7" s="436" t="e">
        <f t="shared" ref="AG7:AG8" si="0">+AVERAGE(AA7:AF7)</f>
        <v>#DIV/0!</v>
      </c>
      <c r="AH7" s="178" t="s">
        <v>226</v>
      </c>
      <c r="AI7" s="26" t="str">
        <f>IFERROR(IF(S7&gt;=0.8,1,(S7*100%)/0.8),"-")</f>
        <v>-</v>
      </c>
      <c r="AJ7" s="26" t="str">
        <f>IFERROR(IF(Z7&gt;=0.8,1,(Z7*100%)/0.8),"-")</f>
        <v>-</v>
      </c>
      <c r="AK7" s="26" t="s">
        <v>226</v>
      </c>
      <c r="AL7" s="179" t="str">
        <f>IFERROR(AVERAGE(AH7:AK7),"-")</f>
        <v>-</v>
      </c>
      <c r="AM7" s="183"/>
      <c r="AN7" s="35"/>
      <c r="AO7" s="36"/>
      <c r="AP7" s="184"/>
    </row>
    <row r="8" spans="1:42" ht="84.75" customHeight="1" x14ac:dyDescent="0.25">
      <c r="A8" s="733"/>
      <c r="B8" s="601"/>
      <c r="C8" s="696"/>
      <c r="D8" s="601"/>
      <c r="E8" s="696"/>
      <c r="F8" s="693"/>
      <c r="G8" s="501" t="s">
        <v>383</v>
      </c>
      <c r="H8" s="154" t="s">
        <v>384</v>
      </c>
      <c r="I8" s="364" t="s">
        <v>132</v>
      </c>
      <c r="J8" s="220" t="s">
        <v>497</v>
      </c>
      <c r="K8" s="198" t="s">
        <v>645</v>
      </c>
      <c r="L8" s="244" t="s">
        <v>380</v>
      </c>
      <c r="M8" s="164"/>
      <c r="N8" s="7"/>
      <c r="O8" s="7"/>
      <c r="P8" s="7"/>
      <c r="Q8" s="57"/>
      <c r="R8" s="57"/>
      <c r="S8" s="165" t="e">
        <f>AVERAGE(M8:P8)</f>
        <v>#DIV/0!</v>
      </c>
      <c r="T8" s="57"/>
      <c r="U8" s="7"/>
      <c r="V8" s="57"/>
      <c r="W8" s="7"/>
      <c r="X8" s="57"/>
      <c r="Y8" s="57"/>
      <c r="Z8" s="165" t="e">
        <f>(AVERAGE(T8:Y8))</f>
        <v>#DIV/0!</v>
      </c>
      <c r="AA8" s="164"/>
      <c r="AB8" s="7"/>
      <c r="AC8" s="7"/>
      <c r="AD8" s="7"/>
      <c r="AE8" s="57"/>
      <c r="AF8" s="57"/>
      <c r="AG8" s="436" t="e">
        <f t="shared" si="0"/>
        <v>#DIV/0!</v>
      </c>
      <c r="AH8" s="178" t="s">
        <v>226</v>
      </c>
      <c r="AI8" s="26" t="str">
        <f>IFERROR(IF(S8&gt;=0.8,1,(S8*100%)/0.8),"-")</f>
        <v>-</v>
      </c>
      <c r="AJ8" s="26" t="str">
        <f>IFERROR(IF(Z8&gt;=0.8,1,(Z8*100%)/0.8),"-")</f>
        <v>-</v>
      </c>
      <c r="AK8" s="26" t="s">
        <v>226</v>
      </c>
      <c r="AL8" s="179" t="str">
        <f>IFERROR(AVERAGE(AH8:AK8),"-")</f>
        <v>-</v>
      </c>
      <c r="AM8" s="185"/>
      <c r="AN8" s="30"/>
      <c r="AO8" s="28"/>
      <c r="AP8" s="186"/>
    </row>
    <row r="9" spans="1:42" ht="95.25" customHeight="1" x14ac:dyDescent="0.25">
      <c r="A9" s="733"/>
      <c r="B9" s="601"/>
      <c r="C9" s="696"/>
      <c r="D9" s="601"/>
      <c r="E9" s="696"/>
      <c r="F9" s="693"/>
      <c r="G9" s="502" t="s">
        <v>385</v>
      </c>
      <c r="H9" s="154" t="s">
        <v>720</v>
      </c>
      <c r="I9" s="81" t="s">
        <v>727</v>
      </c>
      <c r="J9" s="220" t="s">
        <v>509</v>
      </c>
      <c r="K9" s="198" t="s">
        <v>646</v>
      </c>
      <c r="L9" s="244" t="s">
        <v>380</v>
      </c>
      <c r="M9" s="447"/>
      <c r="N9" s="55"/>
      <c r="O9" s="7"/>
      <c r="P9" s="7"/>
      <c r="Q9" s="7"/>
      <c r="R9" s="57"/>
      <c r="S9" s="165" t="e">
        <f>AVERAGE(M9:P9)</f>
        <v>#DIV/0!</v>
      </c>
      <c r="T9" s="447"/>
      <c r="U9" s="15"/>
      <c r="V9" s="7"/>
      <c r="W9" s="7"/>
      <c r="X9" s="57"/>
      <c r="Y9" s="448"/>
      <c r="Z9" s="436" t="e">
        <f>(AVERAGE(T9:Y9))</f>
        <v>#DIV/0!</v>
      </c>
      <c r="AA9" s="433"/>
      <c r="AB9" s="55"/>
      <c r="AC9" s="7"/>
      <c r="AD9" s="7"/>
      <c r="AE9" s="7"/>
      <c r="AF9" s="57"/>
      <c r="AG9" s="436" t="e">
        <f>+AVERAGE(AA9:AF9)</f>
        <v>#DIV/0!</v>
      </c>
      <c r="AH9" s="178" t="s">
        <v>226</v>
      </c>
      <c r="AI9" s="26">
        <f>IFERROR(IF(M9&gt;=0.5,1,(M9*100%)/0.5),"-")</f>
        <v>0</v>
      </c>
      <c r="AJ9" s="26" t="str">
        <f>IFERROR(IF(Z9&gt;=0.5,1,(Z9*100%)/0.5),"-")</f>
        <v>-</v>
      </c>
      <c r="AK9" s="26" t="str">
        <f>IFERROR(IF(AG9&gt;=0.5,1,(AG9*100%)/0.5),"-")</f>
        <v>-</v>
      </c>
      <c r="AL9" s="179">
        <f>IFERROR(AVERAGE(AH9:AK9),"-")</f>
        <v>0</v>
      </c>
      <c r="AM9" s="185"/>
      <c r="AN9" s="30"/>
      <c r="AO9" s="28"/>
      <c r="AP9" s="215"/>
    </row>
    <row r="10" spans="1:42" ht="26.25" thickBot="1" x14ac:dyDescent="0.3">
      <c r="A10" s="596" t="s">
        <v>294</v>
      </c>
      <c r="B10" s="597"/>
      <c r="C10" s="597"/>
      <c r="D10" s="597"/>
      <c r="E10" s="597"/>
      <c r="F10" s="597"/>
      <c r="G10" s="597"/>
      <c r="H10" s="597"/>
      <c r="I10" s="597"/>
      <c r="J10" s="598"/>
      <c r="K10" s="598"/>
      <c r="L10" s="599"/>
      <c r="M10" s="367" t="str">
        <f t="shared" ref="M10:AL10" si="1">IFERROR(AVERAGE(M7:M9),"-")</f>
        <v>-</v>
      </c>
      <c r="N10" s="380" t="str">
        <f t="shared" si="1"/>
        <v>-</v>
      </c>
      <c r="O10" s="380" t="str">
        <f t="shared" si="1"/>
        <v>-</v>
      </c>
      <c r="P10" s="380" t="str">
        <f t="shared" si="1"/>
        <v>-</v>
      </c>
      <c r="Q10" s="169"/>
      <c r="R10" s="130"/>
      <c r="S10" s="616" t="e">
        <f>+AVERAGE(S7:S9)</f>
        <v>#DIV/0!</v>
      </c>
      <c r="T10" s="445" t="str">
        <f t="shared" si="1"/>
        <v>-</v>
      </c>
      <c r="U10" s="374" t="str">
        <f t="shared" si="1"/>
        <v>-</v>
      </c>
      <c r="V10" s="374" t="str">
        <f t="shared" si="1"/>
        <v>-</v>
      </c>
      <c r="W10" s="374" t="str">
        <f t="shared" si="1"/>
        <v>-</v>
      </c>
      <c r="X10" s="169"/>
      <c r="Y10" s="130"/>
      <c r="Z10" s="616" t="str">
        <f t="shared" si="1"/>
        <v>-</v>
      </c>
      <c r="AA10" s="192"/>
      <c r="AB10" s="193" t="str">
        <f t="shared" si="1"/>
        <v>-</v>
      </c>
      <c r="AC10" s="193" t="str">
        <f t="shared" si="1"/>
        <v>-</v>
      </c>
      <c r="AD10" s="193" t="str">
        <f t="shared" si="1"/>
        <v>-</v>
      </c>
      <c r="AE10" s="169"/>
      <c r="AF10" s="130"/>
      <c r="AG10" s="616">
        <v>1</v>
      </c>
      <c r="AH10" s="192" t="str">
        <f t="shared" si="1"/>
        <v>-</v>
      </c>
      <c r="AI10" s="193">
        <f t="shared" si="1"/>
        <v>0</v>
      </c>
      <c r="AJ10" s="193" t="str">
        <f t="shared" si="1"/>
        <v>-</v>
      </c>
      <c r="AK10" s="59" t="str">
        <f t="shared" si="1"/>
        <v>-</v>
      </c>
      <c r="AL10" s="719">
        <f t="shared" si="1"/>
        <v>0</v>
      </c>
      <c r="AM10" s="187"/>
      <c r="AN10" s="188"/>
      <c r="AO10" s="189"/>
      <c r="AP10" s="190"/>
    </row>
    <row r="11" spans="1:42" ht="27" thickBot="1" x14ac:dyDescent="0.3">
      <c r="A11" s="29"/>
      <c r="B11" s="29"/>
      <c r="C11" s="29"/>
      <c r="D11" s="29"/>
      <c r="E11" s="29"/>
      <c r="F11" s="38"/>
      <c r="G11" s="29"/>
      <c r="H11" s="29"/>
      <c r="I11" s="29"/>
      <c r="J11" s="29"/>
      <c r="K11" s="29"/>
      <c r="L11" s="29"/>
      <c r="M11" s="219"/>
      <c r="N11" s="195"/>
      <c r="O11" s="195"/>
      <c r="P11" s="195"/>
      <c r="Q11" s="196"/>
      <c r="R11" s="209" t="s">
        <v>626</v>
      </c>
      <c r="S11" s="617"/>
      <c r="T11" s="217"/>
      <c r="U11" s="195"/>
      <c r="V11" s="195"/>
      <c r="W11" s="195"/>
      <c r="X11" s="196"/>
      <c r="Y11" s="209" t="s">
        <v>507</v>
      </c>
      <c r="Z11" s="617"/>
      <c r="AA11" s="217"/>
      <c r="AB11" s="195"/>
      <c r="AC11" s="195"/>
      <c r="AD11" s="195"/>
      <c r="AE11" s="196"/>
      <c r="AF11" s="209" t="s">
        <v>508</v>
      </c>
      <c r="AG11" s="617"/>
      <c r="AH11" s="194"/>
      <c r="AI11" s="195"/>
      <c r="AJ11" s="196"/>
      <c r="AK11" s="180" t="s">
        <v>295</v>
      </c>
      <c r="AL11" s="720"/>
      <c r="AM11" s="29"/>
      <c r="AN11" s="29"/>
      <c r="AO11" s="29"/>
      <c r="AP11" s="29"/>
    </row>
    <row r="13" spans="1:42" ht="45" x14ac:dyDescent="0.25">
      <c r="G13" s="631" t="s">
        <v>580</v>
      </c>
      <c r="H13" s="632"/>
      <c r="I13" s="632"/>
      <c r="J13" s="633"/>
      <c r="K13" s="295" t="s">
        <v>577</v>
      </c>
      <c r="L13" s="313" t="s">
        <v>578</v>
      </c>
      <c r="M13" s="296" t="s">
        <v>582</v>
      </c>
      <c r="N13" s="296" t="s">
        <v>583</v>
      </c>
      <c r="O13" s="297" t="s">
        <v>581</v>
      </c>
      <c r="T13" s="296" t="s">
        <v>582</v>
      </c>
      <c r="U13" s="296" t="s">
        <v>729</v>
      </c>
      <c r="V13" s="296" t="s">
        <v>583</v>
      </c>
      <c r="W13" s="297" t="s">
        <v>581</v>
      </c>
      <c r="X13" s="297" t="s">
        <v>581</v>
      </c>
      <c r="AA13" s="296" t="s">
        <v>582</v>
      </c>
      <c r="AB13" s="296" t="s">
        <v>729</v>
      </c>
      <c r="AC13" s="296" t="s">
        <v>733</v>
      </c>
      <c r="AD13" s="296" t="s">
        <v>583</v>
      </c>
      <c r="AE13" s="297" t="s">
        <v>581</v>
      </c>
      <c r="AF13" s="297" t="s">
        <v>581</v>
      </c>
    </row>
    <row r="14" spans="1:42" x14ac:dyDescent="0.25">
      <c r="G14" s="726" t="s">
        <v>381</v>
      </c>
      <c r="H14" s="727"/>
      <c r="I14" s="727"/>
      <c r="J14" s="728"/>
      <c r="K14" s="330" t="str">
        <f>+I7</f>
        <v>&gt;=80%</v>
      </c>
      <c r="L14" s="510">
        <v>0.4</v>
      </c>
      <c r="M14" s="330" t="e">
        <f>+S7</f>
        <v>#DIV/0!</v>
      </c>
      <c r="N14" s="330" t="str">
        <f>IFERROR(IF(M14&gt;=0.8,1,(M14*100%)/0.8),"-")</f>
        <v>-</v>
      </c>
      <c r="O14" s="332" t="str">
        <f>IFERROR(+IF(N14=100%,L14,(+N14*L14)),"-")</f>
        <v>-</v>
      </c>
      <c r="T14" s="330" t="e">
        <f>+Z7</f>
        <v>#DIV/0!</v>
      </c>
      <c r="U14" s="330" t="e">
        <f>+M14</f>
        <v>#DIV/0!</v>
      </c>
      <c r="V14" s="330" t="str">
        <f>IFERROR(IF(U14&gt;=0.8,1,(U14*100%)/0.8),"-")</f>
        <v>-</v>
      </c>
      <c r="W14" s="332" t="str">
        <f>IFERROR(+IF(V14=100%,L14,(+V14*L14)),"-")</f>
        <v>-</v>
      </c>
      <c r="X14" s="730">
        <f>+V17</f>
        <v>0</v>
      </c>
      <c r="AA14" s="330" t="e">
        <f>+AG7%</f>
        <v>#DIV/0!</v>
      </c>
      <c r="AB14" s="330" t="e">
        <f>+M14</f>
        <v>#DIV/0!</v>
      </c>
      <c r="AC14" s="330" t="e">
        <f>+T14</f>
        <v>#DIV/0!</v>
      </c>
      <c r="AD14" s="330" t="str">
        <f>IFERROR(IF(AVERAGE(AA14:AC14)&gt;=0.8,1,(AVERAGE(AA14:AC14)*100%)/0.8),"-")</f>
        <v>-</v>
      </c>
      <c r="AE14" s="332" t="str">
        <f>IFERROR(+IF(AD14=100%,L14,(+AD14*L14)),"-")</f>
        <v>-</v>
      </c>
      <c r="AF14" s="730">
        <f>+AE17</f>
        <v>0</v>
      </c>
    </row>
    <row r="15" spans="1:42" x14ac:dyDescent="0.25">
      <c r="G15" s="742" t="s">
        <v>383</v>
      </c>
      <c r="H15" s="743"/>
      <c r="I15" s="743"/>
      <c r="J15" s="744"/>
      <c r="K15" s="330" t="str">
        <f>+I8</f>
        <v>&gt;=80%</v>
      </c>
      <c r="L15" s="510">
        <v>0.2</v>
      </c>
      <c r="M15" s="330" t="e">
        <f>+S8</f>
        <v>#DIV/0!</v>
      </c>
      <c r="N15" s="330" t="str">
        <f>IFERROR(IF(M15&gt;=0.8,1,(M15*100%)/0.8),"-")</f>
        <v>-</v>
      </c>
      <c r="O15" s="332" t="str">
        <f>+IFERROR(IF(N15=100%,L15,(+N15*L15)),"-")</f>
        <v>-</v>
      </c>
      <c r="T15" s="330" t="e">
        <f>+Z8</f>
        <v>#DIV/0!</v>
      </c>
      <c r="U15" s="330" t="e">
        <f>+M15</f>
        <v>#DIV/0!</v>
      </c>
      <c r="V15" s="330" t="str">
        <f>IFERROR(IF(T15&gt;=0.8,1,(T15*100%)/0.8),"-")</f>
        <v>-</v>
      </c>
      <c r="W15" s="332" t="str">
        <f>IFERROR(+IF(V15=100%,L15,(+V15*L15)),"-")</f>
        <v>-</v>
      </c>
      <c r="X15" s="649"/>
      <c r="AA15" s="511" t="e">
        <f>+AG8</f>
        <v>#DIV/0!</v>
      </c>
      <c r="AB15" s="330" t="e">
        <f>+M15</f>
        <v>#DIV/0!</v>
      </c>
      <c r="AC15" s="330" t="e">
        <f>+T15</f>
        <v>#DIV/0!</v>
      </c>
      <c r="AD15" s="330" t="str">
        <f>IFERROR(IF(AVERAGE(AA15:AC15)&gt;=0.8,1,(AVERAGE(AA15:AC15)*100%)/0.8),"-")</f>
        <v>-</v>
      </c>
      <c r="AE15" s="332" t="str">
        <f>IFERROR(+IF(AD15=100%,L15,(+AD15*L15)),"-")</f>
        <v>-</v>
      </c>
      <c r="AF15" s="649"/>
    </row>
    <row r="16" spans="1:42" x14ac:dyDescent="0.25">
      <c r="G16" s="726" t="s">
        <v>385</v>
      </c>
      <c r="H16" s="727"/>
      <c r="I16" s="727"/>
      <c r="J16" s="728"/>
      <c r="K16" s="330" t="str">
        <f>+I9</f>
        <v>&gt;=0,5</v>
      </c>
      <c r="L16" s="510">
        <v>0.1</v>
      </c>
      <c r="M16" s="446" t="e">
        <f>+S9</f>
        <v>#DIV/0!</v>
      </c>
      <c r="N16" s="330" t="str">
        <f>IFERROR(IF(M16&gt;=0.5,1,(M16*100%)/0.5),"-")</f>
        <v>-</v>
      </c>
      <c r="O16" s="332" t="str">
        <f>+IFERROR(IF(N16=100%,L16,(+N16*L16)),"-")</f>
        <v>-</v>
      </c>
      <c r="T16" s="446" t="e">
        <f>+Z9</f>
        <v>#DIV/0!</v>
      </c>
      <c r="U16" s="330" t="e">
        <f>+M16</f>
        <v>#DIV/0!</v>
      </c>
      <c r="V16" s="330" t="str">
        <f>IFERROR(IF(T16&gt;=0.5,1,(T16*100%)/0.5),"-")</f>
        <v>-</v>
      </c>
      <c r="W16" s="332" t="str">
        <f>IFERROR(+IF(V16=100%,L16,(+V16*L16)),"-")</f>
        <v>-</v>
      </c>
      <c r="X16" s="649"/>
      <c r="AA16" s="446" t="e">
        <f>+AG9</f>
        <v>#DIV/0!</v>
      </c>
      <c r="AB16" s="330" t="e">
        <f>+M16</f>
        <v>#DIV/0!</v>
      </c>
      <c r="AC16" s="446" t="e">
        <f>+T16</f>
        <v>#DIV/0!</v>
      </c>
      <c r="AD16" s="330" t="str">
        <f>IFERROR(IF(AVERAGE(AA16:AC16)&gt;=0.5,1,(AVERAGE(AA16:AC16)*100%)/0.5),"-")</f>
        <v>-</v>
      </c>
      <c r="AE16" s="332" t="str">
        <f>IFERROR(+IF(AD16=100%,L16,(+AD16*L16)),"-")</f>
        <v>-</v>
      </c>
      <c r="AF16" s="649"/>
    </row>
    <row r="17" spans="12:31" ht="21" x14ac:dyDescent="0.35">
      <c r="L17" s="331">
        <f>SUM(L14:L16)</f>
        <v>0.70000000000000007</v>
      </c>
      <c r="O17" s="381">
        <f>IFERROR(SUM(O14:O16),"-")</f>
        <v>0</v>
      </c>
      <c r="V17" s="381">
        <f>IFERROR(SUM(W14:W16),"-")</f>
        <v>0</v>
      </c>
      <c r="AE17" s="381">
        <f>IFERROR(SUM(AE14:AE16),"-")</f>
        <v>0</v>
      </c>
    </row>
  </sheetData>
  <mergeCells count="47">
    <mergeCell ref="AF14:AF16"/>
    <mergeCell ref="G13:J13"/>
    <mergeCell ref="G14:J14"/>
    <mergeCell ref="G15:J15"/>
    <mergeCell ref="G16:J16"/>
    <mergeCell ref="X14:X16"/>
    <mergeCell ref="AL10:AL11"/>
    <mergeCell ref="A10:L10"/>
    <mergeCell ref="S10:S11"/>
    <mergeCell ref="Z10:Z11"/>
    <mergeCell ref="AG10:AG11"/>
    <mergeCell ref="F7:F9"/>
    <mergeCell ref="F5:F6"/>
    <mergeCell ref="G5:G6"/>
    <mergeCell ref="H5:H6"/>
    <mergeCell ref="I5:I6"/>
    <mergeCell ref="A7:A9"/>
    <mergeCell ref="B7:B9"/>
    <mergeCell ref="C7:C9"/>
    <mergeCell ref="D7:D9"/>
    <mergeCell ref="E7:E9"/>
    <mergeCell ref="E5:E6"/>
    <mergeCell ref="S5:S6"/>
    <mergeCell ref="Z5:Z6"/>
    <mergeCell ref="AH5:AL5"/>
    <mergeCell ref="AM5:AP5"/>
    <mergeCell ref="AF5:AF6"/>
    <mergeCell ref="AG5:AG6"/>
    <mergeCell ref="J5:J6"/>
    <mergeCell ref="Q5:Q6"/>
    <mergeCell ref="R5:R6"/>
    <mergeCell ref="X5:X6"/>
    <mergeCell ref="Y5:Y6"/>
    <mergeCell ref="AE5:AE6"/>
    <mergeCell ref="L5:L6"/>
    <mergeCell ref="K5:K6"/>
    <mergeCell ref="A4:D4"/>
    <mergeCell ref="A5:A6"/>
    <mergeCell ref="B5:B6"/>
    <mergeCell ref="C5:C6"/>
    <mergeCell ref="D5:D6"/>
    <mergeCell ref="A1:B1"/>
    <mergeCell ref="C1:AM1"/>
    <mergeCell ref="AN1:AP2"/>
    <mergeCell ref="A2:B3"/>
    <mergeCell ref="C2:AM3"/>
    <mergeCell ref="AN3:AP3"/>
  </mergeCells>
  <conditionalFormatting sqref="AL10 AH7:AL9">
    <cfRule type="cellIs" dxfId="32" priority="1" operator="lessThan">
      <formula>0.6</formula>
    </cfRule>
    <cfRule type="cellIs" dxfId="31" priority="2" operator="between">
      <formula>60%</formula>
      <formula>79%</formula>
    </cfRule>
    <cfRule type="cellIs" dxfId="30" priority="3" operator="between">
      <formula>80%</formula>
      <formula>100%</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B21"/>
  <sheetViews>
    <sheetView zoomScale="70" zoomScaleNormal="70" workbookViewId="0">
      <selection activeCell="E7" sqref="E7:E14"/>
    </sheetView>
  </sheetViews>
  <sheetFormatPr baseColWidth="10" defaultRowHeight="15" x14ac:dyDescent="0.25"/>
  <cols>
    <col min="1" max="1" width="21.42578125" customWidth="1"/>
    <col min="2" max="2" width="29.140625" customWidth="1"/>
    <col min="3" max="3" width="30.85546875" customWidth="1"/>
    <col min="4" max="4" width="31" customWidth="1"/>
    <col min="5" max="5" width="20.7109375" customWidth="1"/>
    <col min="6" max="6" width="13.140625" customWidth="1"/>
    <col min="7" max="7" width="21.7109375" style="72" customWidth="1"/>
    <col min="8" max="8" width="25.28515625" style="72" customWidth="1"/>
    <col min="9" max="11" width="14.42578125" customWidth="1"/>
    <col min="12" max="12" width="16.7109375" customWidth="1"/>
    <col min="13" max="13" width="19.42578125" style="263" customWidth="1"/>
    <col min="14" max="20" width="19.42578125" customWidth="1"/>
    <col min="21" max="21" width="34.140625" customWidth="1"/>
    <col min="22" max="22" width="43.28515625" customWidth="1"/>
    <col min="23" max="31" width="19.42578125" customWidth="1"/>
    <col min="32" max="32" width="23.7109375" customWidth="1"/>
    <col min="33" max="33" width="30" customWidth="1"/>
    <col min="34" max="42" width="19.42578125" customWidth="1"/>
    <col min="43" max="43" width="29.42578125" customWidth="1"/>
    <col min="44" max="45" width="19.42578125" customWidth="1"/>
    <col min="46" max="50" width="17.7109375" customWidth="1"/>
    <col min="51" max="54" width="26.5703125" customWidth="1"/>
  </cols>
  <sheetData>
    <row r="1" spans="1:54"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c r="AW1" s="593"/>
      <c r="AX1" s="593"/>
      <c r="AY1" s="593"/>
      <c r="AZ1" s="612"/>
      <c r="BA1" s="612"/>
      <c r="BB1" s="612"/>
    </row>
    <row r="2" spans="1:54"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593"/>
      <c r="AZ2" s="612"/>
      <c r="BA2" s="612"/>
      <c r="BB2" s="612"/>
    </row>
    <row r="3" spans="1:54"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593"/>
      <c r="AX3" s="593"/>
      <c r="AY3" s="593"/>
      <c r="AZ3" s="613" t="s">
        <v>772</v>
      </c>
      <c r="BA3" s="613"/>
      <c r="BB3" s="613"/>
    </row>
    <row r="4" spans="1:54" ht="15.75" thickBot="1" x14ac:dyDescent="0.3">
      <c r="A4" s="627" t="s">
        <v>193</v>
      </c>
      <c r="B4" s="627"/>
      <c r="C4" s="627"/>
      <c r="D4" s="627"/>
      <c r="E4" s="29"/>
      <c r="F4" s="38"/>
      <c r="G4" s="114"/>
      <c r="H4" s="114"/>
      <c r="I4" s="29"/>
      <c r="J4" s="29"/>
      <c r="K4" s="29"/>
      <c r="L4" s="29"/>
      <c r="M4" s="56"/>
      <c r="N4" s="29"/>
      <c r="O4" s="29"/>
      <c r="P4" s="29"/>
      <c r="Q4" s="29"/>
      <c r="R4" s="29"/>
      <c r="S4" s="29"/>
      <c r="T4" s="29"/>
      <c r="U4" s="29"/>
      <c r="V4" s="29"/>
      <c r="W4" s="29"/>
      <c r="X4" s="56"/>
      <c r="Y4" s="29"/>
      <c r="Z4" s="29"/>
      <c r="AA4" s="29"/>
      <c r="AB4" s="29"/>
      <c r="AC4" s="29"/>
      <c r="AD4" s="29"/>
      <c r="AE4" s="29"/>
      <c r="AF4" s="29"/>
      <c r="AG4" s="29"/>
      <c r="AH4" s="29"/>
      <c r="AI4" s="56"/>
      <c r="AJ4" s="56"/>
      <c r="AK4" s="56"/>
      <c r="AL4" s="56"/>
      <c r="AM4" s="29"/>
      <c r="AN4" s="29"/>
      <c r="AO4" s="29"/>
      <c r="AP4" s="29"/>
      <c r="AQ4" s="29"/>
      <c r="AR4" s="29"/>
      <c r="AS4" s="29"/>
      <c r="AT4" s="29"/>
      <c r="AU4" s="29"/>
      <c r="AV4" s="29"/>
      <c r="AW4" s="29"/>
      <c r="AX4" s="29"/>
      <c r="AY4" s="29"/>
      <c r="AZ4" s="29"/>
      <c r="BA4" s="29"/>
      <c r="BB4" s="29"/>
    </row>
    <row r="5" spans="1:54" ht="57" customHeight="1" x14ac:dyDescent="0.25">
      <c r="A5" s="606" t="s">
        <v>1</v>
      </c>
      <c r="B5" s="594" t="s">
        <v>3</v>
      </c>
      <c r="C5" s="594" t="s">
        <v>194</v>
      </c>
      <c r="D5" s="594" t="s">
        <v>195</v>
      </c>
      <c r="E5" s="594" t="s">
        <v>196</v>
      </c>
      <c r="F5" s="642" t="s">
        <v>742</v>
      </c>
      <c r="G5" s="594" t="s">
        <v>228</v>
      </c>
      <c r="H5" s="594" t="s">
        <v>227</v>
      </c>
      <c r="I5" s="594" t="s">
        <v>8</v>
      </c>
      <c r="J5" s="594" t="s">
        <v>495</v>
      </c>
      <c r="K5" s="594" t="s">
        <v>519</v>
      </c>
      <c r="L5" s="717" t="s">
        <v>9</v>
      </c>
      <c r="M5" s="199" t="s">
        <v>394</v>
      </c>
      <c r="N5" s="264" t="s">
        <v>511</v>
      </c>
      <c r="O5" s="264" t="s">
        <v>512</v>
      </c>
      <c r="P5" s="264" t="s">
        <v>513</v>
      </c>
      <c r="Q5" s="264" t="s">
        <v>514</v>
      </c>
      <c r="R5" s="264" t="s">
        <v>553</v>
      </c>
      <c r="S5" s="264" t="s">
        <v>515</v>
      </c>
      <c r="T5" s="270" t="s">
        <v>516</v>
      </c>
      <c r="U5" s="676" t="s">
        <v>421</v>
      </c>
      <c r="V5" s="610" t="s">
        <v>423</v>
      </c>
      <c r="W5" s="608" t="s">
        <v>488</v>
      </c>
      <c r="X5" s="199" t="s">
        <v>394</v>
      </c>
      <c r="Y5" s="407" t="s">
        <v>511</v>
      </c>
      <c r="Z5" s="407" t="s">
        <v>512</v>
      </c>
      <c r="AA5" s="407" t="s">
        <v>513</v>
      </c>
      <c r="AB5" s="407" t="s">
        <v>514</v>
      </c>
      <c r="AC5" s="407" t="s">
        <v>553</v>
      </c>
      <c r="AD5" s="407" t="s">
        <v>515</v>
      </c>
      <c r="AE5" s="270" t="s">
        <v>516</v>
      </c>
      <c r="AF5" s="676" t="s">
        <v>421</v>
      </c>
      <c r="AG5" s="610" t="s">
        <v>423</v>
      </c>
      <c r="AH5" s="608" t="s">
        <v>491</v>
      </c>
      <c r="AI5" s="199" t="s">
        <v>394</v>
      </c>
      <c r="AJ5" s="471" t="s">
        <v>511</v>
      </c>
      <c r="AK5" s="471" t="s">
        <v>512</v>
      </c>
      <c r="AL5" s="471" t="s">
        <v>513</v>
      </c>
      <c r="AM5" s="471" t="s">
        <v>514</v>
      </c>
      <c r="AN5" s="471" t="s">
        <v>553</v>
      </c>
      <c r="AO5" s="471" t="s">
        <v>515</v>
      </c>
      <c r="AP5" s="270" t="s">
        <v>516</v>
      </c>
      <c r="AQ5" s="676" t="s">
        <v>421</v>
      </c>
      <c r="AR5" s="610" t="s">
        <v>423</v>
      </c>
      <c r="AS5" s="608" t="s">
        <v>493</v>
      </c>
      <c r="AT5" s="652" t="s">
        <v>11</v>
      </c>
      <c r="AU5" s="653"/>
      <c r="AV5" s="653"/>
      <c r="AW5" s="653"/>
      <c r="AX5" s="654"/>
      <c r="AY5" s="624" t="s">
        <v>557</v>
      </c>
      <c r="AZ5" s="625"/>
      <c r="BA5" s="625"/>
      <c r="BB5" s="626"/>
    </row>
    <row r="6" spans="1:54" ht="57" customHeight="1" x14ac:dyDescent="0.25">
      <c r="A6" s="607"/>
      <c r="B6" s="535"/>
      <c r="C6" s="535"/>
      <c r="D6" s="535"/>
      <c r="E6" s="535"/>
      <c r="F6" s="643"/>
      <c r="G6" s="535"/>
      <c r="H6" s="535"/>
      <c r="I6" s="535"/>
      <c r="J6" s="535"/>
      <c r="K6" s="535"/>
      <c r="L6" s="718"/>
      <c r="M6" s="163" t="s">
        <v>299</v>
      </c>
      <c r="N6" s="4" t="s">
        <v>299</v>
      </c>
      <c r="O6" s="4" t="s">
        <v>299</v>
      </c>
      <c r="P6" s="4" t="s">
        <v>299</v>
      </c>
      <c r="Q6" s="4" t="s">
        <v>299</v>
      </c>
      <c r="R6" s="4" t="s">
        <v>299</v>
      </c>
      <c r="S6" s="4" t="s">
        <v>299</v>
      </c>
      <c r="T6" s="4" t="s">
        <v>299</v>
      </c>
      <c r="U6" s="677"/>
      <c r="V6" s="611"/>
      <c r="W6" s="609"/>
      <c r="X6" s="163" t="s">
        <v>288</v>
      </c>
      <c r="Y6" s="4" t="s">
        <v>288</v>
      </c>
      <c r="Z6" s="4" t="s">
        <v>288</v>
      </c>
      <c r="AA6" s="4" t="s">
        <v>288</v>
      </c>
      <c r="AB6" s="4" t="s">
        <v>288</v>
      </c>
      <c r="AC6" s="4" t="s">
        <v>288</v>
      </c>
      <c r="AD6" s="4" t="s">
        <v>288</v>
      </c>
      <c r="AE6" s="4" t="s">
        <v>288</v>
      </c>
      <c r="AF6" s="677"/>
      <c r="AG6" s="611"/>
      <c r="AH6" s="609"/>
      <c r="AI6" s="163" t="s">
        <v>313</v>
      </c>
      <c r="AJ6" s="4" t="s">
        <v>313</v>
      </c>
      <c r="AK6" s="4" t="s">
        <v>313</v>
      </c>
      <c r="AL6" s="4" t="s">
        <v>313</v>
      </c>
      <c r="AM6" s="4" t="s">
        <v>313</v>
      </c>
      <c r="AN6" s="4" t="s">
        <v>313</v>
      </c>
      <c r="AO6" s="4" t="s">
        <v>313</v>
      </c>
      <c r="AP6" s="4" t="s">
        <v>313</v>
      </c>
      <c r="AQ6" s="677"/>
      <c r="AR6" s="611"/>
      <c r="AS6" s="609"/>
      <c r="AT6" s="176" t="s">
        <v>198</v>
      </c>
      <c r="AU6" s="5" t="s">
        <v>199</v>
      </c>
      <c r="AV6" s="5" t="s">
        <v>200</v>
      </c>
      <c r="AW6" s="5" t="s">
        <v>201</v>
      </c>
      <c r="AX6" s="177" t="s">
        <v>20</v>
      </c>
      <c r="AY6" s="181" t="s">
        <v>202</v>
      </c>
      <c r="AZ6" s="33" t="s">
        <v>203</v>
      </c>
      <c r="BA6" s="33" t="s">
        <v>204</v>
      </c>
      <c r="BB6" s="182" t="s">
        <v>205</v>
      </c>
    </row>
    <row r="7" spans="1:54" ht="73.5" customHeight="1" x14ac:dyDescent="0.25">
      <c r="A7" s="745" t="s">
        <v>389</v>
      </c>
      <c r="B7" s="722" t="s">
        <v>390</v>
      </c>
      <c r="C7" s="722" t="s">
        <v>391</v>
      </c>
      <c r="D7" s="722" t="s">
        <v>392</v>
      </c>
      <c r="E7" s="722" t="s">
        <v>393</v>
      </c>
      <c r="F7" s="692">
        <v>0.6</v>
      </c>
      <c r="G7" s="160" t="s">
        <v>397</v>
      </c>
      <c r="H7" s="160" t="s">
        <v>395</v>
      </c>
      <c r="I7" s="74" t="s">
        <v>132</v>
      </c>
      <c r="J7" s="74" t="s">
        <v>497</v>
      </c>
      <c r="K7" s="260" t="s">
        <v>647</v>
      </c>
      <c r="L7" s="198" t="s">
        <v>409</v>
      </c>
      <c r="M7" s="164"/>
      <c r="N7" s="57"/>
      <c r="O7" s="57"/>
      <c r="P7" s="57"/>
      <c r="Q7" s="57"/>
      <c r="R7" s="57"/>
      <c r="S7" s="57"/>
      <c r="T7" s="57"/>
      <c r="U7" s="57"/>
      <c r="V7" s="379"/>
      <c r="W7" s="165" t="e">
        <f>AVERAGE(M7:T7)</f>
        <v>#DIV/0!</v>
      </c>
      <c r="X7" s="164"/>
      <c r="Y7" s="57"/>
      <c r="Z7" s="57"/>
      <c r="AA7" s="57"/>
      <c r="AB7" s="57"/>
      <c r="AC7" s="57"/>
      <c r="AD7" s="57"/>
      <c r="AE7" s="57"/>
      <c r="AF7" s="57"/>
      <c r="AG7" s="57"/>
      <c r="AH7" s="165" t="e">
        <f>AVERAGE(X7:AE7)</f>
        <v>#DIV/0!</v>
      </c>
      <c r="AI7" s="164"/>
      <c r="AJ7" s="57"/>
      <c r="AK7" s="57"/>
      <c r="AL7" s="57"/>
      <c r="AM7" s="57"/>
      <c r="AN7" s="57"/>
      <c r="AO7" s="57"/>
      <c r="AP7" s="57"/>
      <c r="AQ7" s="57"/>
      <c r="AR7" s="57"/>
      <c r="AS7" s="165" t="e">
        <f t="shared" ref="AS7:AS14" si="0">+AVERAGE(AI7:AP7)</f>
        <v>#DIV/0!</v>
      </c>
      <c r="AT7" s="178" t="s">
        <v>226</v>
      </c>
      <c r="AU7" s="26" t="str">
        <f>IFERROR(IF(W7&gt;=0.8,1,(W7*100%)/0.8),"-")</f>
        <v>-</v>
      </c>
      <c r="AV7" s="26" t="str">
        <f>IFERROR(IF(AH7&gt;=0.8,1,(AH7*100%)/0.8),"-")</f>
        <v>-</v>
      </c>
      <c r="AW7" s="26" t="str">
        <f>IFERROR(IF(AS7&gt;=0.8,1,(AS7*100%)/0.8),"-")</f>
        <v>-</v>
      </c>
      <c r="AX7" s="179" t="str">
        <f>IFERROR(AVERAGE(AT7:AW7),"-")</f>
        <v>-</v>
      </c>
      <c r="AY7" s="183"/>
      <c r="AZ7" s="35"/>
      <c r="BA7" s="36"/>
      <c r="BB7" s="184"/>
    </row>
    <row r="8" spans="1:54" ht="114.75" customHeight="1" x14ac:dyDescent="0.25">
      <c r="A8" s="746"/>
      <c r="B8" s="601"/>
      <c r="C8" s="696"/>
      <c r="D8" s="696"/>
      <c r="E8" s="696"/>
      <c r="F8" s="693"/>
      <c r="G8" s="83" t="s">
        <v>396</v>
      </c>
      <c r="H8" s="160" t="s">
        <v>398</v>
      </c>
      <c r="I8" s="74" t="s">
        <v>132</v>
      </c>
      <c r="J8" s="113" t="s">
        <v>499</v>
      </c>
      <c r="K8" s="269" t="s">
        <v>648</v>
      </c>
      <c r="L8" s="198" t="s">
        <v>409</v>
      </c>
      <c r="M8" s="164"/>
      <c r="N8" s="57"/>
      <c r="O8" s="57"/>
      <c r="P8" s="57"/>
      <c r="Q8" s="57"/>
      <c r="R8" s="57"/>
      <c r="S8" s="57"/>
      <c r="T8" s="57"/>
      <c r="U8" s="57"/>
      <c r="V8" s="57"/>
      <c r="W8" s="165" t="e">
        <f t="shared" ref="W8:W14" si="1">AVERAGE(M8:T8)</f>
        <v>#DIV/0!</v>
      </c>
      <c r="X8" s="164"/>
      <c r="Y8" s="268"/>
      <c r="Z8" s="7"/>
      <c r="AA8" s="7"/>
      <c r="AB8" s="7"/>
      <c r="AC8" s="7"/>
      <c r="AD8" s="7"/>
      <c r="AE8" s="7"/>
      <c r="AF8" s="7"/>
      <c r="AG8" s="7"/>
      <c r="AH8" s="165" t="e">
        <f>AVERAGE(X8:AE8)</f>
        <v>#DIV/0!</v>
      </c>
      <c r="AI8" s="164"/>
      <c r="AJ8" s="268"/>
      <c r="AK8" s="7"/>
      <c r="AL8" s="7"/>
      <c r="AM8" s="7"/>
      <c r="AN8" s="7"/>
      <c r="AO8" s="7"/>
      <c r="AP8" s="7"/>
      <c r="AQ8" s="7"/>
      <c r="AR8" s="7"/>
      <c r="AS8" s="165" t="e">
        <f t="shared" si="0"/>
        <v>#DIV/0!</v>
      </c>
      <c r="AT8" s="178" t="s">
        <v>226</v>
      </c>
      <c r="AU8" s="26" t="str">
        <f>IFERROR(IF(W8&gt;=0.8,1,(W8*100%)/0.8),"-")</f>
        <v>-</v>
      </c>
      <c r="AV8" s="26" t="str">
        <f>IFERROR(IF(AH8&gt;=0.8,1,(AH8*100%)/0.8),"-")</f>
        <v>-</v>
      </c>
      <c r="AW8" s="26" t="str">
        <f>IFERROR(IF(AS8&gt;=0.8,1,(AS8*100%)/0.8),"-")</f>
        <v>-</v>
      </c>
      <c r="AX8" s="179" t="str">
        <f>IFERROR(AVERAGE(AT8:AW8),"-")</f>
        <v>-</v>
      </c>
      <c r="AY8" s="185"/>
      <c r="AZ8" s="30"/>
      <c r="BA8" s="28"/>
      <c r="BB8" s="186"/>
    </row>
    <row r="9" spans="1:54" ht="114.75" customHeight="1" x14ac:dyDescent="0.25">
      <c r="A9" s="746"/>
      <c r="B9" s="601"/>
      <c r="C9" s="696"/>
      <c r="D9" s="696"/>
      <c r="E9" s="696"/>
      <c r="F9" s="693"/>
      <c r="G9" s="83" t="s">
        <v>721</v>
      </c>
      <c r="H9" s="160" t="s">
        <v>399</v>
      </c>
      <c r="I9" s="74" t="s">
        <v>555</v>
      </c>
      <c r="J9" s="113" t="s">
        <v>499</v>
      </c>
      <c r="K9" s="269" t="s">
        <v>649</v>
      </c>
      <c r="L9" s="198" t="s">
        <v>409</v>
      </c>
      <c r="M9" s="164"/>
      <c r="N9" s="57"/>
      <c r="O9" s="57"/>
      <c r="P9" s="57"/>
      <c r="Q9" s="57"/>
      <c r="R9" s="57"/>
      <c r="S9" s="57"/>
      <c r="T9" s="57"/>
      <c r="U9" s="57"/>
      <c r="V9" s="57"/>
      <c r="W9" s="165" t="e">
        <f t="shared" si="1"/>
        <v>#DIV/0!</v>
      </c>
      <c r="X9" s="164"/>
      <c r="Y9" s="7"/>
      <c r="Z9" s="7"/>
      <c r="AA9" s="7"/>
      <c r="AB9" s="7"/>
      <c r="AC9" s="7"/>
      <c r="AD9" s="7"/>
      <c r="AE9" s="7"/>
      <c r="AF9" s="7"/>
      <c r="AG9" s="7"/>
      <c r="AH9" s="165" t="e">
        <f>+AVERAGE(X9:AE9)</f>
        <v>#DIV/0!</v>
      </c>
      <c r="AI9" s="164"/>
      <c r="AJ9" s="7"/>
      <c r="AK9" s="7"/>
      <c r="AL9" s="7"/>
      <c r="AM9" s="7"/>
      <c r="AN9" s="7"/>
      <c r="AO9" s="7"/>
      <c r="AP9" s="7"/>
      <c r="AQ9" s="7"/>
      <c r="AR9" s="7"/>
      <c r="AS9" s="165" t="e">
        <f t="shared" si="0"/>
        <v>#DIV/0!</v>
      </c>
      <c r="AT9" s="178" t="s">
        <v>226</v>
      </c>
      <c r="AU9" s="26" t="str">
        <f>IFERROR(IF(W9&gt;=0.7,1,(W9*100%)/0.7),"-")</f>
        <v>-</v>
      </c>
      <c r="AV9" s="26" t="str">
        <f>IFERROR(IF(AH9&gt;=0.7,1,(AH9*100%)/0.7),"-")</f>
        <v>-</v>
      </c>
      <c r="AW9" s="26" t="str">
        <f>IFERROR(IF(AS9&gt;=0.7,1,(AS9*100%)/0.7),"-")</f>
        <v>-</v>
      </c>
      <c r="AX9" s="179" t="str">
        <f t="shared" ref="AX9:AX13" si="2">IFERROR(AVERAGE(AT9:AW9),"-")</f>
        <v>-</v>
      </c>
      <c r="AY9" s="185"/>
      <c r="AZ9" s="30"/>
      <c r="BA9" s="28"/>
      <c r="BB9" s="186"/>
    </row>
    <row r="10" spans="1:54" ht="114.75" customHeight="1" x14ac:dyDescent="0.25">
      <c r="A10" s="746"/>
      <c r="B10" s="601"/>
      <c r="C10" s="696"/>
      <c r="D10" s="696"/>
      <c r="E10" s="696"/>
      <c r="F10" s="693"/>
      <c r="G10" s="83" t="s">
        <v>400</v>
      </c>
      <c r="H10" s="160" t="s">
        <v>401</v>
      </c>
      <c r="I10" s="74" t="s">
        <v>555</v>
      </c>
      <c r="J10" s="113" t="s">
        <v>499</v>
      </c>
      <c r="K10" s="269" t="s">
        <v>649</v>
      </c>
      <c r="L10" s="198" t="s">
        <v>409</v>
      </c>
      <c r="M10" s="164"/>
      <c r="N10" s="57"/>
      <c r="O10" s="57"/>
      <c r="P10" s="57"/>
      <c r="Q10" s="57"/>
      <c r="R10" s="57"/>
      <c r="S10" s="57"/>
      <c r="T10" s="57"/>
      <c r="U10" s="57"/>
      <c r="V10" s="57"/>
      <c r="W10" s="165" t="e">
        <f t="shared" si="1"/>
        <v>#DIV/0!</v>
      </c>
      <c r="X10" s="164"/>
      <c r="Y10" s="268"/>
      <c r="Z10" s="7"/>
      <c r="AA10" s="7"/>
      <c r="AB10" s="7"/>
      <c r="AC10" s="7"/>
      <c r="AD10" s="7"/>
      <c r="AE10" s="7"/>
      <c r="AF10" s="7"/>
      <c r="AG10" s="7"/>
      <c r="AH10" s="165" t="e">
        <f>+AVERAGE(X10:AE10)</f>
        <v>#DIV/0!</v>
      </c>
      <c r="AI10" s="164"/>
      <c r="AJ10" s="268"/>
      <c r="AK10" s="7"/>
      <c r="AL10" s="7"/>
      <c r="AM10" s="7"/>
      <c r="AN10" s="7"/>
      <c r="AO10" s="7"/>
      <c r="AP10" s="7"/>
      <c r="AQ10" s="7"/>
      <c r="AR10" s="7"/>
      <c r="AS10" s="165" t="e">
        <f t="shared" si="0"/>
        <v>#DIV/0!</v>
      </c>
      <c r="AT10" s="178" t="s">
        <v>226</v>
      </c>
      <c r="AU10" s="26" t="str">
        <f>IFERROR(IF(W10&gt;=0.7,1,(W10*100%)/0.7),"-")</f>
        <v>-</v>
      </c>
      <c r="AV10" s="26" t="str">
        <f>IFERROR(IF(AH10&gt;=0.7,1,(AH10*100%)/0.7),"-")</f>
        <v>-</v>
      </c>
      <c r="AW10" s="26" t="str">
        <f>IFERROR(IF(AS10&gt;=0.7,1,(AS10*100%)/0.7),"-")</f>
        <v>-</v>
      </c>
      <c r="AX10" s="179" t="str">
        <f t="shared" si="2"/>
        <v>-</v>
      </c>
      <c r="AY10" s="185"/>
      <c r="AZ10" s="30"/>
      <c r="BA10" s="28"/>
      <c r="BB10" s="186"/>
    </row>
    <row r="11" spans="1:54" ht="114.75" customHeight="1" x14ac:dyDescent="0.25">
      <c r="A11" s="746"/>
      <c r="B11" s="601"/>
      <c r="C11" s="696"/>
      <c r="D11" s="696"/>
      <c r="E11" s="696"/>
      <c r="F11" s="693"/>
      <c r="G11" s="83" t="s">
        <v>402</v>
      </c>
      <c r="H11" s="160" t="s">
        <v>403</v>
      </c>
      <c r="I11" s="74" t="s">
        <v>141</v>
      </c>
      <c r="J11" s="113" t="s">
        <v>499</v>
      </c>
      <c r="K11" s="269" t="s">
        <v>650</v>
      </c>
      <c r="L11" s="198" t="s">
        <v>409</v>
      </c>
      <c r="M11" s="164"/>
      <c r="N11" s="7"/>
      <c r="O11" s="7"/>
      <c r="P11" s="7"/>
      <c r="Q11" s="7"/>
      <c r="R11" s="7"/>
      <c r="S11" s="7"/>
      <c r="T11" s="7"/>
      <c r="U11" s="57"/>
      <c r="V11" s="57"/>
      <c r="W11" s="165" t="e">
        <f t="shared" si="1"/>
        <v>#DIV/0!</v>
      </c>
      <c r="X11" s="164"/>
      <c r="Y11" s="7"/>
      <c r="Z11" s="7"/>
      <c r="AA11" s="7"/>
      <c r="AB11" s="7"/>
      <c r="AC11" s="7"/>
      <c r="AD11" s="7"/>
      <c r="AE11" s="7"/>
      <c r="AF11" s="7"/>
      <c r="AG11" s="7"/>
      <c r="AH11" s="165" t="e">
        <f>AVERAGE(X11:AE11)</f>
        <v>#DIV/0!</v>
      </c>
      <c r="AI11" s="164"/>
      <c r="AJ11" s="7"/>
      <c r="AK11" s="7"/>
      <c r="AL11" s="7"/>
      <c r="AM11" s="7"/>
      <c r="AN11" s="7"/>
      <c r="AO11" s="7"/>
      <c r="AP11" s="7"/>
      <c r="AQ11" s="7"/>
      <c r="AR11" s="7"/>
      <c r="AS11" s="165" t="e">
        <f t="shared" si="0"/>
        <v>#DIV/0!</v>
      </c>
      <c r="AT11" s="178" t="s">
        <v>226</v>
      </c>
      <c r="AU11" s="26" t="str">
        <f>IFERROR(IF(W11&gt;=0.9,1,(W11*100%)/0.9),"-")</f>
        <v>-</v>
      </c>
      <c r="AV11" s="26" t="str">
        <f>IFERROR(IF(AH11&gt;=0.9,1,(AH11*100%)/0.9),"-")</f>
        <v>-</v>
      </c>
      <c r="AW11" s="26" t="str">
        <f>IFERROR(IF(AS11&gt;=0.9,1,(AS11*100%)/0.9),"-")</f>
        <v>-</v>
      </c>
      <c r="AX11" s="179" t="str">
        <f t="shared" si="2"/>
        <v>-</v>
      </c>
      <c r="AY11" s="185"/>
      <c r="AZ11" s="30"/>
      <c r="BA11" s="28"/>
      <c r="BB11" s="186"/>
    </row>
    <row r="12" spans="1:54" ht="114.75" customHeight="1" x14ac:dyDescent="0.25">
      <c r="A12" s="746"/>
      <c r="B12" s="601"/>
      <c r="C12" s="696"/>
      <c r="D12" s="696"/>
      <c r="E12" s="696"/>
      <c r="F12" s="693"/>
      <c r="G12" s="83" t="s">
        <v>404</v>
      </c>
      <c r="H12" s="160" t="s">
        <v>403</v>
      </c>
      <c r="I12" s="112">
        <v>0.9</v>
      </c>
      <c r="J12" s="113" t="s">
        <v>499</v>
      </c>
      <c r="K12" s="269" t="s">
        <v>650</v>
      </c>
      <c r="L12" s="198" t="s">
        <v>409</v>
      </c>
      <c r="M12" s="164"/>
      <c r="N12" s="57"/>
      <c r="O12" s="57"/>
      <c r="P12" s="57"/>
      <c r="Q12" s="57"/>
      <c r="R12" s="57"/>
      <c r="S12" s="57"/>
      <c r="T12" s="57"/>
      <c r="U12" s="57"/>
      <c r="V12" s="57"/>
      <c r="W12" s="165" t="e">
        <f t="shared" si="1"/>
        <v>#DIV/0!</v>
      </c>
      <c r="X12" s="164"/>
      <c r="Y12" s="268"/>
      <c r="Z12" s="7"/>
      <c r="AA12" s="7"/>
      <c r="AB12" s="7"/>
      <c r="AC12" s="7"/>
      <c r="AD12" s="7"/>
      <c r="AE12" s="7"/>
      <c r="AF12" s="7"/>
      <c r="AG12" s="7"/>
      <c r="AH12" s="165" t="e">
        <f>+AVERAGE(X12:AE12)</f>
        <v>#DIV/0!</v>
      </c>
      <c r="AI12" s="164"/>
      <c r="AJ12" s="268"/>
      <c r="AK12" s="7"/>
      <c r="AL12" s="7"/>
      <c r="AM12" s="7"/>
      <c r="AN12" s="7"/>
      <c r="AO12" s="7"/>
      <c r="AP12" s="7"/>
      <c r="AQ12" s="7"/>
      <c r="AR12" s="7"/>
      <c r="AS12" s="165" t="e">
        <f t="shared" si="0"/>
        <v>#DIV/0!</v>
      </c>
      <c r="AT12" s="178" t="s">
        <v>226</v>
      </c>
      <c r="AU12" s="26" t="str">
        <f>IFERROR(IF(W12&gt;=0.9,1,(W12*100%)/0.9),"-")</f>
        <v>-</v>
      </c>
      <c r="AV12" s="26" t="str">
        <f>IFERROR(IF(AH12&gt;=0.9,1,(AH12*100%)/0.9),"-")</f>
        <v>-</v>
      </c>
      <c r="AW12" s="26" t="str">
        <f>IFERROR(IF(AS12&gt;=0.9,1,(AS12*100%)/0.9),"-")</f>
        <v>-</v>
      </c>
      <c r="AX12" s="179" t="str">
        <f t="shared" si="2"/>
        <v>-</v>
      </c>
      <c r="AY12" s="185"/>
      <c r="AZ12" s="30"/>
      <c r="BA12" s="28"/>
      <c r="BB12" s="186"/>
    </row>
    <row r="13" spans="1:54" ht="114.75" customHeight="1" x14ac:dyDescent="0.25">
      <c r="A13" s="746"/>
      <c r="B13" s="601"/>
      <c r="C13" s="696"/>
      <c r="D13" s="696"/>
      <c r="E13" s="696"/>
      <c r="F13" s="693"/>
      <c r="G13" s="83" t="s">
        <v>405</v>
      </c>
      <c r="H13" s="160" t="s">
        <v>406</v>
      </c>
      <c r="I13" s="112">
        <v>0.9</v>
      </c>
      <c r="J13" s="113" t="s">
        <v>499</v>
      </c>
      <c r="K13" s="269" t="s">
        <v>650</v>
      </c>
      <c r="L13" s="198" t="s">
        <v>409</v>
      </c>
      <c r="M13" s="164"/>
      <c r="N13" s="57"/>
      <c r="O13" s="57"/>
      <c r="P13" s="57"/>
      <c r="Q13" s="57"/>
      <c r="R13" s="57"/>
      <c r="S13" s="57"/>
      <c r="T13" s="57"/>
      <c r="U13" s="57"/>
      <c r="V13" s="57"/>
      <c r="W13" s="165" t="e">
        <f t="shared" si="1"/>
        <v>#DIV/0!</v>
      </c>
      <c r="X13" s="164"/>
      <c r="Y13" s="268"/>
      <c r="Z13" s="7"/>
      <c r="AA13" s="7"/>
      <c r="AB13" s="7"/>
      <c r="AC13" s="7"/>
      <c r="AD13" s="7"/>
      <c r="AE13" s="7"/>
      <c r="AF13" s="7"/>
      <c r="AG13" s="7"/>
      <c r="AH13" s="165" t="e">
        <f>+AVERAGE(X13:AE13)</f>
        <v>#DIV/0!</v>
      </c>
      <c r="AI13" s="164"/>
      <c r="AJ13" s="268"/>
      <c r="AK13" s="7"/>
      <c r="AL13" s="7"/>
      <c r="AM13" s="7"/>
      <c r="AN13" s="7"/>
      <c r="AO13" s="7"/>
      <c r="AP13" s="57"/>
      <c r="AQ13" s="57"/>
      <c r="AR13" s="7"/>
      <c r="AS13" s="165" t="e">
        <f t="shared" si="0"/>
        <v>#DIV/0!</v>
      </c>
      <c r="AT13" s="178" t="s">
        <v>226</v>
      </c>
      <c r="AU13" s="26" t="str">
        <f>IFERROR(IF(W13&gt;=0.9,1,(W13*100%)/0.9),"-")</f>
        <v>-</v>
      </c>
      <c r="AV13" s="26" t="str">
        <f>IFERROR(IF(AH13&gt;=0.9,1,(AH13*100%)/0.9),"-")</f>
        <v>-</v>
      </c>
      <c r="AW13" s="26" t="str">
        <f>IFERROR(IF(AS13&gt;=0.9,1,(AS13*100%)/0.9),"-")</f>
        <v>-</v>
      </c>
      <c r="AX13" s="179" t="str">
        <f t="shared" si="2"/>
        <v>-</v>
      </c>
      <c r="AY13" s="185"/>
      <c r="AZ13" s="30"/>
      <c r="BA13" s="28"/>
      <c r="BB13" s="186"/>
    </row>
    <row r="14" spans="1:54" ht="76.5" customHeight="1" x14ac:dyDescent="0.25">
      <c r="A14" s="746"/>
      <c r="B14" s="601"/>
      <c r="C14" s="696"/>
      <c r="D14" s="696"/>
      <c r="E14" s="696"/>
      <c r="F14" s="693"/>
      <c r="G14" s="83" t="s">
        <v>407</v>
      </c>
      <c r="H14" s="160" t="s">
        <v>408</v>
      </c>
      <c r="I14" s="112">
        <v>0.3</v>
      </c>
      <c r="J14" s="113" t="s">
        <v>499</v>
      </c>
      <c r="K14" s="269" t="s">
        <v>649</v>
      </c>
      <c r="L14" s="198" t="s">
        <v>409</v>
      </c>
      <c r="M14" s="164"/>
      <c r="N14" s="57"/>
      <c r="O14" s="57"/>
      <c r="P14" s="57"/>
      <c r="Q14" s="57"/>
      <c r="R14" s="57"/>
      <c r="S14" s="57"/>
      <c r="T14" s="57"/>
      <c r="U14" s="7"/>
      <c r="V14" s="57"/>
      <c r="W14" s="165" t="e">
        <f t="shared" si="1"/>
        <v>#DIV/0!</v>
      </c>
      <c r="X14" s="164"/>
      <c r="Y14" s="268"/>
      <c r="Z14" s="55"/>
      <c r="AA14" s="7"/>
      <c r="AB14" s="7"/>
      <c r="AC14" s="7"/>
      <c r="AD14" s="7"/>
      <c r="AE14" s="7"/>
      <c r="AF14" s="7"/>
      <c r="AG14" s="7"/>
      <c r="AH14" s="165" t="e">
        <f>+AVERAGE(X14:AE14)</f>
        <v>#DIV/0!</v>
      </c>
      <c r="AI14" s="164"/>
      <c r="AJ14" s="268"/>
      <c r="AK14" s="55"/>
      <c r="AL14" s="7"/>
      <c r="AM14" s="7"/>
      <c r="AN14" s="7"/>
      <c r="AO14" s="7"/>
      <c r="AP14" s="7"/>
      <c r="AQ14" s="7"/>
      <c r="AR14" s="7"/>
      <c r="AS14" s="165" t="e">
        <f t="shared" si="0"/>
        <v>#DIV/0!</v>
      </c>
      <c r="AT14" s="178" t="s">
        <v>226</v>
      </c>
      <c r="AU14" s="26" t="str">
        <f>IFERROR(IF(W14&gt;=0.3,1,(W14*100%)/0.3),"-")</f>
        <v>-</v>
      </c>
      <c r="AV14" s="26" t="str">
        <f>IFERROR(IF(AH14&gt;=0.3,1,(AH14*100%)/0.3),"-")</f>
        <v>-</v>
      </c>
      <c r="AW14" s="26" t="str">
        <f>IFERROR(IF(AS14&gt;=0.3,1,(AS14*100%)/0.3),"-")</f>
        <v>-</v>
      </c>
      <c r="AX14" s="179" t="str">
        <f>IFERROR(AVERAGE(AT14:AW14),"-")</f>
        <v>-</v>
      </c>
      <c r="AY14" s="185"/>
      <c r="AZ14" s="30"/>
      <c r="BA14" s="28"/>
      <c r="BB14" s="215"/>
    </row>
    <row r="15" spans="1:54" ht="26.25" thickBot="1" x14ac:dyDescent="0.3">
      <c r="A15" s="596" t="s">
        <v>294</v>
      </c>
      <c r="B15" s="597"/>
      <c r="C15" s="597"/>
      <c r="D15" s="597"/>
      <c r="E15" s="597"/>
      <c r="F15" s="597"/>
      <c r="G15" s="597"/>
      <c r="H15" s="597"/>
      <c r="I15" s="597"/>
      <c r="J15" s="597"/>
      <c r="K15" s="598"/>
      <c r="L15" s="598"/>
      <c r="M15" s="367" t="str">
        <f t="shared" ref="M15:T15" si="3">IFERROR(AVERAGE(M7:M14),"-")</f>
        <v>-</v>
      </c>
      <c r="N15" s="380" t="str">
        <f t="shared" si="3"/>
        <v>-</v>
      </c>
      <c r="O15" s="380" t="str">
        <f t="shared" si="3"/>
        <v>-</v>
      </c>
      <c r="P15" s="380" t="str">
        <f t="shared" si="3"/>
        <v>-</v>
      </c>
      <c r="Q15" s="380" t="str">
        <f t="shared" si="3"/>
        <v>-</v>
      </c>
      <c r="R15" s="380" t="str">
        <f t="shared" si="3"/>
        <v>-</v>
      </c>
      <c r="S15" s="380" t="str">
        <f t="shared" si="3"/>
        <v>-</v>
      </c>
      <c r="T15" s="380" t="str">
        <f t="shared" si="3"/>
        <v>-</v>
      </c>
      <c r="U15" s="169"/>
      <c r="V15" s="130"/>
      <c r="W15" s="616" t="e">
        <f>+AVERAGE(W7:W14)</f>
        <v>#DIV/0!</v>
      </c>
      <c r="X15" s="271" t="str">
        <f t="shared" ref="X15:AE15" si="4">IFERROR(AVERAGE(X7:X14),"-")</f>
        <v>-</v>
      </c>
      <c r="Y15" s="59" t="str">
        <f t="shared" si="4"/>
        <v>-</v>
      </c>
      <c r="Z15" s="59" t="str">
        <f t="shared" si="4"/>
        <v>-</v>
      </c>
      <c r="AA15" s="59" t="str">
        <f t="shared" si="4"/>
        <v>-</v>
      </c>
      <c r="AB15" s="59" t="str">
        <f t="shared" si="4"/>
        <v>-</v>
      </c>
      <c r="AC15" s="59" t="str">
        <f t="shared" si="4"/>
        <v>-</v>
      </c>
      <c r="AD15" s="59" t="str">
        <f t="shared" si="4"/>
        <v>-</v>
      </c>
      <c r="AE15" s="59" t="str">
        <f t="shared" si="4"/>
        <v>-</v>
      </c>
      <c r="AF15" s="130"/>
      <c r="AG15" s="130"/>
      <c r="AH15" s="616" t="str">
        <f t="shared" ref="AH15:AP15" si="5">IFERROR(AVERAGE(AH7:AH14),"-")</f>
        <v>-</v>
      </c>
      <c r="AI15" s="192" t="str">
        <f t="shared" si="5"/>
        <v>-</v>
      </c>
      <c r="AJ15" s="193" t="str">
        <f t="shared" si="5"/>
        <v>-</v>
      </c>
      <c r="AK15" s="193" t="str">
        <f t="shared" si="5"/>
        <v>-</v>
      </c>
      <c r="AL15" s="193" t="str">
        <f t="shared" si="5"/>
        <v>-</v>
      </c>
      <c r="AM15" s="193" t="str">
        <f t="shared" si="5"/>
        <v>-</v>
      </c>
      <c r="AN15" s="193" t="str">
        <f t="shared" si="5"/>
        <v>-</v>
      </c>
      <c r="AO15" s="193" t="str">
        <f t="shared" si="5"/>
        <v>-</v>
      </c>
      <c r="AP15" s="193" t="str">
        <f t="shared" si="5"/>
        <v>-</v>
      </c>
      <c r="AQ15" s="169"/>
      <c r="AR15" s="130"/>
      <c r="AS15" s="616" t="str">
        <f t="shared" ref="AS15:AX15" si="6">IFERROR(AVERAGE(AS7:AS14),"-")</f>
        <v>-</v>
      </c>
      <c r="AT15" s="192" t="str">
        <f t="shared" si="6"/>
        <v>-</v>
      </c>
      <c r="AU15" s="193" t="str">
        <f>IFERROR(AVERAGE(AU7:AU14),"-")</f>
        <v>-</v>
      </c>
      <c r="AV15" s="193" t="str">
        <f t="shared" si="6"/>
        <v>-</v>
      </c>
      <c r="AW15" s="59" t="str">
        <f t="shared" si="6"/>
        <v>-</v>
      </c>
      <c r="AX15" s="719" t="str">
        <f t="shared" si="6"/>
        <v>-</v>
      </c>
      <c r="AY15" s="187"/>
      <c r="AZ15" s="188"/>
      <c r="BA15" s="189"/>
      <c r="BB15" s="190"/>
    </row>
    <row r="16" spans="1:54" ht="27" thickBot="1" x14ac:dyDescent="0.3">
      <c r="A16" s="29"/>
      <c r="B16" s="29"/>
      <c r="C16" s="29"/>
      <c r="D16" s="29"/>
      <c r="E16" s="29"/>
      <c r="F16" s="38"/>
      <c r="G16" s="114"/>
      <c r="H16" s="114"/>
      <c r="I16" s="29"/>
      <c r="J16" s="29"/>
      <c r="K16" s="29"/>
      <c r="L16" s="29"/>
      <c r="M16" s="219"/>
      <c r="N16" s="195"/>
      <c r="O16" s="195"/>
      <c r="P16" s="195"/>
      <c r="Q16" s="195"/>
      <c r="R16" s="195"/>
      <c r="S16" s="195"/>
      <c r="T16" s="195"/>
      <c r="U16" s="196"/>
      <c r="V16" s="209" t="s">
        <v>314</v>
      </c>
      <c r="W16" s="617"/>
      <c r="X16" s="272"/>
      <c r="Y16" s="273"/>
      <c r="Z16" s="273"/>
      <c r="AA16" s="273"/>
      <c r="AB16" s="273"/>
      <c r="AC16" s="273"/>
      <c r="AD16" s="273"/>
      <c r="AE16" s="274"/>
      <c r="AF16" s="209"/>
      <c r="AG16" s="208" t="s">
        <v>297</v>
      </c>
      <c r="AH16" s="617"/>
      <c r="AI16" s="217"/>
      <c r="AJ16" s="219"/>
      <c r="AK16" s="219"/>
      <c r="AL16" s="219"/>
      <c r="AM16" s="195"/>
      <c r="AN16" s="195"/>
      <c r="AO16" s="195"/>
      <c r="AP16" s="195"/>
      <c r="AQ16" s="226"/>
      <c r="AR16" s="211" t="s">
        <v>298</v>
      </c>
      <c r="AS16" s="617"/>
      <c r="AT16" s="194"/>
      <c r="AU16" s="195"/>
      <c r="AV16" s="195"/>
      <c r="AW16" s="211" t="s">
        <v>295</v>
      </c>
      <c r="AX16" s="720"/>
      <c r="AY16" s="29"/>
      <c r="AZ16" s="29"/>
      <c r="BA16" s="29"/>
      <c r="BB16" s="29"/>
    </row>
    <row r="18" spans="7:40" ht="45" x14ac:dyDescent="0.25">
      <c r="G18" s="631" t="s">
        <v>580</v>
      </c>
      <c r="H18" s="632"/>
      <c r="I18" s="632"/>
      <c r="J18" s="633"/>
      <c r="K18" s="295" t="s">
        <v>577</v>
      </c>
      <c r="L18" s="313" t="s">
        <v>578</v>
      </c>
      <c r="M18" s="296" t="s">
        <v>582</v>
      </c>
      <c r="N18" s="296" t="s">
        <v>583</v>
      </c>
      <c r="O18" s="297" t="s">
        <v>581</v>
      </c>
      <c r="X18" s="296" t="s">
        <v>582</v>
      </c>
      <c r="Y18" s="420" t="s">
        <v>729</v>
      </c>
      <c r="Z18" s="296" t="s">
        <v>583</v>
      </c>
      <c r="AA18" s="297" t="s">
        <v>581</v>
      </c>
      <c r="AB18" s="456" t="s">
        <v>731</v>
      </c>
      <c r="AI18" s="296" t="s">
        <v>582</v>
      </c>
      <c r="AJ18" s="420" t="s">
        <v>729</v>
      </c>
      <c r="AK18" s="420" t="s">
        <v>733</v>
      </c>
      <c r="AL18" s="296" t="s">
        <v>583</v>
      </c>
      <c r="AM18" s="297" t="s">
        <v>581</v>
      </c>
      <c r="AN18" s="472" t="s">
        <v>731</v>
      </c>
    </row>
    <row r="19" spans="7:40" x14ac:dyDescent="0.25">
      <c r="G19" s="726" t="s">
        <v>627</v>
      </c>
      <c r="H19" s="727"/>
      <c r="I19" s="727"/>
      <c r="J19" s="728"/>
      <c r="K19" s="330" t="s">
        <v>141</v>
      </c>
      <c r="L19" s="510">
        <v>0.4</v>
      </c>
      <c r="M19" s="330" t="e">
        <f>+AVERAGE(W7:W13)</f>
        <v>#DIV/0!</v>
      </c>
      <c r="N19" s="330" t="str">
        <f>IFERROR(IF(M19&gt;=0.9,1,(M19*100%)/0.9),"-")</f>
        <v>-</v>
      </c>
      <c r="O19" s="332" t="str">
        <f>IFERROR(+IF(N19=100%,L19,(+N19*L19)),"-")</f>
        <v>-</v>
      </c>
      <c r="X19" s="330" t="e">
        <f>AVERAGE(AH7:AH13)</f>
        <v>#DIV/0!</v>
      </c>
      <c r="Y19" s="330" t="e">
        <f>+M19</f>
        <v>#DIV/0!</v>
      </c>
      <c r="Z19" s="330" t="str">
        <f>IFERROR(IF(AVERAGE(X19,Y19)&gt;=0.9,1,(AVERAGE(X19,Y19)*100%)/0.9),"-")</f>
        <v>-</v>
      </c>
      <c r="AA19" s="332" t="str">
        <f>IFERROR(+IF(Z19=100%,L19,(+Z19*L19)),"-")</f>
        <v>-</v>
      </c>
      <c r="AB19" s="730">
        <f>+AA21</f>
        <v>0</v>
      </c>
      <c r="AI19" s="330" t="e">
        <f>AVERAGE(AS7:AS13)</f>
        <v>#DIV/0!</v>
      </c>
      <c r="AJ19" s="330" t="e">
        <f>+M19</f>
        <v>#DIV/0!</v>
      </c>
      <c r="AK19" s="330" t="e">
        <f>+X19</f>
        <v>#DIV/0!</v>
      </c>
      <c r="AL19" s="330" t="str">
        <f>IFERROR(IF(AVERAGE(AI19,AJ19,AK19)&gt;=0.9,1,(AVERAGE(AI19,AJ19,AK19)*100%)/0.9),"-")</f>
        <v>-</v>
      </c>
      <c r="AM19" s="332" t="str">
        <f>IFERROR(+IF(AL19=100%,L19,(+AL19*L19)),"-")</f>
        <v>-</v>
      </c>
      <c r="AN19" s="730">
        <f>+AM21</f>
        <v>0</v>
      </c>
    </row>
    <row r="20" spans="7:40" x14ac:dyDescent="0.25">
      <c r="G20" s="726" t="s">
        <v>407</v>
      </c>
      <c r="H20" s="727"/>
      <c r="I20" s="727"/>
      <c r="J20" s="728"/>
      <c r="K20" s="330">
        <v>0.3</v>
      </c>
      <c r="L20" s="510">
        <v>0.2</v>
      </c>
      <c r="M20" s="330" t="e">
        <f>+W14</f>
        <v>#DIV/0!</v>
      </c>
      <c r="N20" s="330" t="str">
        <f>IFERROR((M20*100%)/K20,"-")</f>
        <v>-</v>
      </c>
      <c r="O20" s="332" t="str">
        <f>+IFERROR(IF(N20=100%,L20,(+N20*L20)),"-")</f>
        <v>-</v>
      </c>
      <c r="X20" s="330" t="e">
        <f>+AH14</f>
        <v>#DIV/0!</v>
      </c>
      <c r="Y20" s="330" t="e">
        <f>+M20</f>
        <v>#DIV/0!</v>
      </c>
      <c r="Z20" s="330" t="str">
        <f>IFERROR(IF(X20&gt;=0.3,1,(X20*100%)/0.3),"-")</f>
        <v>-</v>
      </c>
      <c r="AA20" s="332" t="str">
        <f>+IFERROR(IF(Z20=100%,L20,(+Z20*L20)),"-")</f>
        <v>-</v>
      </c>
      <c r="AB20" s="649"/>
      <c r="AI20" s="330" t="e">
        <f>+AS14</f>
        <v>#DIV/0!</v>
      </c>
      <c r="AJ20" s="330" t="e">
        <f>+M20</f>
        <v>#DIV/0!</v>
      </c>
      <c r="AK20" s="330" t="e">
        <f>+X20</f>
        <v>#DIV/0!</v>
      </c>
      <c r="AL20" s="330" t="e">
        <f>IF(AVERAGE(AI20,AJ20,AK20)&gt;=0.9,1,(AVERAGE(AI20,AJ20,AK20)*100%)/0.9)</f>
        <v>#DIV/0!</v>
      </c>
      <c r="AM20" s="332" t="str">
        <f>IFERROR(+IF(AL20&gt;=30%,L20,(+AL20*L20)),"-")</f>
        <v>-</v>
      </c>
      <c r="AN20" s="649"/>
    </row>
    <row r="21" spans="7:40" ht="21" x14ac:dyDescent="0.35">
      <c r="G21"/>
      <c r="H21"/>
      <c r="L21" s="331">
        <f>SUM(L19:L20)</f>
        <v>0.60000000000000009</v>
      </c>
      <c r="M21"/>
      <c r="O21" s="381">
        <f>IFERROR(SUM(O19:O20),"-")</f>
        <v>0</v>
      </c>
      <c r="AA21" s="381">
        <f>IFERROR(SUM(AA19:AA20),"-")</f>
        <v>0</v>
      </c>
      <c r="AB21" s="649"/>
      <c r="AM21" s="381">
        <f>IFERROR(SUM(AM19:AM20),"-")</f>
        <v>0</v>
      </c>
      <c r="AN21" s="649"/>
    </row>
  </sheetData>
  <mergeCells count="46">
    <mergeCell ref="G19:J19"/>
    <mergeCell ref="V5:V6"/>
    <mergeCell ref="AF5:AF6"/>
    <mergeCell ref="AG5:AG6"/>
    <mergeCell ref="AQ5:AQ6"/>
    <mergeCell ref="G18:J18"/>
    <mergeCell ref="AT5:AX5"/>
    <mergeCell ref="W15:W16"/>
    <mergeCell ref="AH15:AH16"/>
    <mergeCell ref="AS15:AS16"/>
    <mergeCell ref="AX15:AX16"/>
    <mergeCell ref="W5:W6"/>
    <mergeCell ref="AH5:AH6"/>
    <mergeCell ref="AS5:AS6"/>
    <mergeCell ref="AZ1:BB2"/>
    <mergeCell ref="A2:B3"/>
    <mergeCell ref="C2:AY3"/>
    <mergeCell ref="AZ3:BB3"/>
    <mergeCell ref="U5:U6"/>
    <mergeCell ref="A4:D4"/>
    <mergeCell ref="A5:A6"/>
    <mergeCell ref="B5:B6"/>
    <mergeCell ref="C5:C6"/>
    <mergeCell ref="D5:D6"/>
    <mergeCell ref="AR5:AR6"/>
    <mergeCell ref="K5:K6"/>
    <mergeCell ref="AY5:BB5"/>
    <mergeCell ref="F5:F6"/>
    <mergeCell ref="G5:G6"/>
    <mergeCell ref="H5:H6"/>
    <mergeCell ref="G20:J20"/>
    <mergeCell ref="AB19:AB21"/>
    <mergeCell ref="A1:B1"/>
    <mergeCell ref="C1:AY1"/>
    <mergeCell ref="A7:A14"/>
    <mergeCell ref="B7:B14"/>
    <mergeCell ref="C7:C14"/>
    <mergeCell ref="D7:D14"/>
    <mergeCell ref="E7:E14"/>
    <mergeCell ref="F7:F14"/>
    <mergeCell ref="I5:I6"/>
    <mergeCell ref="L5:L6"/>
    <mergeCell ref="E5:E6"/>
    <mergeCell ref="J5:J6"/>
    <mergeCell ref="AN19:AN21"/>
    <mergeCell ref="A15:L15"/>
  </mergeCells>
  <conditionalFormatting sqref="AX15 AT7:AX14">
    <cfRule type="cellIs" dxfId="29" priority="1" operator="lessThan">
      <formula>0.6</formula>
    </cfRule>
    <cfRule type="cellIs" dxfId="28" priority="2" operator="between">
      <formula>60%</formula>
      <formula>79%</formula>
    </cfRule>
    <cfRule type="cellIs" dxfId="27" priority="3" operator="between">
      <formula>80%</formula>
      <formula>100%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G9"/>
  <sheetViews>
    <sheetView topLeftCell="D1" zoomScale="70" zoomScaleNormal="70" workbookViewId="0">
      <selection activeCell="R7" sqref="R7"/>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140625" customWidth="1"/>
    <col min="7" max="7" width="16.140625" customWidth="1"/>
    <col min="8" max="8" width="25.28515625" customWidth="1"/>
    <col min="9" max="11" width="14.42578125" customWidth="1"/>
    <col min="12" max="12" width="16.7109375" customWidth="1"/>
    <col min="13" max="13" width="19.42578125" customWidth="1"/>
    <col min="14" max="14" width="28.42578125" customWidth="1"/>
    <col min="15" max="15" width="22.7109375" customWidth="1"/>
    <col min="16" max="17" width="19.42578125" customWidth="1"/>
    <col min="18" max="19" width="26.42578125" customWidth="1"/>
    <col min="20" max="24" width="19.42578125" customWidth="1"/>
    <col min="25" max="29" width="17.7109375" customWidth="1"/>
    <col min="30" max="33" width="26.5703125" customWidth="1"/>
  </cols>
  <sheetData>
    <row r="1" spans="1:33"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772</v>
      </c>
      <c r="AF3" s="613"/>
      <c r="AG3" s="613"/>
    </row>
    <row r="4" spans="1:33" ht="15.75" thickBot="1" x14ac:dyDescent="0.3">
      <c r="A4" s="627" t="s">
        <v>193</v>
      </c>
      <c r="B4" s="627"/>
      <c r="C4" s="627"/>
      <c r="D4" s="627"/>
      <c r="E4" s="29"/>
      <c r="F4" s="38"/>
      <c r="G4" s="29"/>
      <c r="H4" s="29"/>
      <c r="I4" s="29"/>
      <c r="J4" s="29"/>
      <c r="K4" s="29"/>
      <c r="L4" s="29"/>
      <c r="M4" s="56"/>
      <c r="N4" s="56"/>
      <c r="O4" s="29"/>
      <c r="P4" s="29"/>
      <c r="Q4" s="56"/>
      <c r="R4" s="29"/>
      <c r="S4" s="29"/>
      <c r="T4" s="29"/>
      <c r="U4" s="56"/>
      <c r="V4" s="56"/>
      <c r="W4" s="56"/>
      <c r="X4" s="29"/>
      <c r="Y4" s="29"/>
      <c r="Z4" s="29"/>
      <c r="AA4" s="29"/>
      <c r="AB4" s="29"/>
      <c r="AC4" s="29"/>
      <c r="AD4" s="29"/>
      <c r="AE4" s="29"/>
      <c r="AF4" s="29"/>
      <c r="AG4" s="29"/>
    </row>
    <row r="5" spans="1:33" ht="57" customHeight="1" x14ac:dyDescent="0.25">
      <c r="A5" s="606" t="s">
        <v>1</v>
      </c>
      <c r="B5" s="594" t="s">
        <v>3</v>
      </c>
      <c r="C5" s="594" t="s">
        <v>194</v>
      </c>
      <c r="D5" s="594" t="s">
        <v>195</v>
      </c>
      <c r="E5" s="594" t="s">
        <v>196</v>
      </c>
      <c r="F5" s="642" t="s">
        <v>231</v>
      </c>
      <c r="G5" s="594" t="s">
        <v>228</v>
      </c>
      <c r="H5" s="594" t="s">
        <v>227</v>
      </c>
      <c r="I5" s="594" t="s">
        <v>8</v>
      </c>
      <c r="J5" s="594" t="s">
        <v>495</v>
      </c>
      <c r="K5" s="594" t="s">
        <v>519</v>
      </c>
      <c r="L5" s="717" t="s">
        <v>9</v>
      </c>
      <c r="M5" s="199" t="s">
        <v>325</v>
      </c>
      <c r="N5" s="676" t="s">
        <v>421</v>
      </c>
      <c r="O5" s="610" t="s">
        <v>517</v>
      </c>
      <c r="P5" s="608" t="s">
        <v>488</v>
      </c>
      <c r="Q5" s="199" t="s">
        <v>325</v>
      </c>
      <c r="R5" s="676" t="s">
        <v>421</v>
      </c>
      <c r="S5" s="610" t="s">
        <v>517</v>
      </c>
      <c r="T5" s="608" t="s">
        <v>491</v>
      </c>
      <c r="U5" s="199" t="s">
        <v>325</v>
      </c>
      <c r="V5" s="676" t="s">
        <v>421</v>
      </c>
      <c r="W5" s="610" t="s">
        <v>517</v>
      </c>
      <c r="X5" s="608" t="s">
        <v>493</v>
      </c>
      <c r="Y5" s="652" t="s">
        <v>11</v>
      </c>
      <c r="Z5" s="653"/>
      <c r="AA5" s="653"/>
      <c r="AB5" s="653"/>
      <c r="AC5" s="654"/>
      <c r="AD5" s="624" t="s">
        <v>557</v>
      </c>
      <c r="AE5" s="625"/>
      <c r="AF5" s="625"/>
      <c r="AG5" s="626"/>
    </row>
    <row r="6" spans="1:33" ht="57" customHeight="1" x14ac:dyDescent="0.25">
      <c r="A6" s="607"/>
      <c r="B6" s="535"/>
      <c r="C6" s="535"/>
      <c r="D6" s="535"/>
      <c r="E6" s="535"/>
      <c r="F6" s="643"/>
      <c r="G6" s="535"/>
      <c r="H6" s="535"/>
      <c r="I6" s="535"/>
      <c r="J6" s="535"/>
      <c r="K6" s="535"/>
      <c r="L6" s="718"/>
      <c r="M6" s="163" t="s">
        <v>299</v>
      </c>
      <c r="N6" s="677"/>
      <c r="O6" s="611"/>
      <c r="P6" s="609"/>
      <c r="Q6" s="163" t="s">
        <v>288</v>
      </c>
      <c r="R6" s="677"/>
      <c r="S6" s="611"/>
      <c r="T6" s="609"/>
      <c r="U6" s="163" t="s">
        <v>313</v>
      </c>
      <c r="V6" s="677"/>
      <c r="W6" s="611"/>
      <c r="X6" s="609"/>
      <c r="Y6" s="176" t="s">
        <v>198</v>
      </c>
      <c r="Z6" s="5" t="s">
        <v>199</v>
      </c>
      <c r="AA6" s="5" t="s">
        <v>200</v>
      </c>
      <c r="AB6" s="5" t="s">
        <v>201</v>
      </c>
      <c r="AC6" s="177" t="s">
        <v>20</v>
      </c>
      <c r="AD6" s="181" t="s">
        <v>202</v>
      </c>
      <c r="AE6" s="33" t="s">
        <v>203</v>
      </c>
      <c r="AF6" s="33" t="s">
        <v>204</v>
      </c>
      <c r="AG6" s="182" t="s">
        <v>205</v>
      </c>
    </row>
    <row r="7" spans="1:33" ht="127.5" customHeight="1" x14ac:dyDescent="0.25">
      <c r="A7" s="320" t="s">
        <v>219</v>
      </c>
      <c r="B7" s="321" t="s">
        <v>322</v>
      </c>
      <c r="C7" s="318" t="s">
        <v>323</v>
      </c>
      <c r="D7" s="318" t="s">
        <v>147</v>
      </c>
      <c r="E7" s="318" t="s">
        <v>221</v>
      </c>
      <c r="F7" s="319" t="s">
        <v>324</v>
      </c>
      <c r="G7" s="76" t="s">
        <v>478</v>
      </c>
      <c r="H7" s="76" t="s">
        <v>476</v>
      </c>
      <c r="I7" s="74" t="s">
        <v>141</v>
      </c>
      <c r="J7" s="74" t="s">
        <v>496</v>
      </c>
      <c r="K7" s="146" t="s">
        <v>467</v>
      </c>
      <c r="L7" s="326" t="s">
        <v>505</v>
      </c>
      <c r="M7" s="164"/>
      <c r="N7" s="55"/>
      <c r="O7" s="55"/>
      <c r="P7" s="165">
        <f>+M7</f>
        <v>0</v>
      </c>
      <c r="Q7" s="164"/>
      <c r="R7" s="55"/>
      <c r="S7" s="55"/>
      <c r="T7" s="165">
        <f>+Q7</f>
        <v>0</v>
      </c>
      <c r="U7" s="164"/>
      <c r="V7" s="77"/>
      <c r="W7" s="77"/>
      <c r="X7" s="165">
        <f>+U7</f>
        <v>0</v>
      </c>
      <c r="Y7" s="178" t="s">
        <v>226</v>
      </c>
      <c r="Z7" s="26">
        <f>IFERROR(IF(P7&gt;=0.9,1,(P7*100%)/0.9),"-")</f>
        <v>0</v>
      </c>
      <c r="AA7" s="26">
        <f>IFERROR(IF(T7&gt;=0.9,1,(T7*100%)/0.9),"-")</f>
        <v>0</v>
      </c>
      <c r="AB7" s="26">
        <f>IFERROR(IF(X7&gt;=0.9,1,(X7*100%)/0.9),"-")</f>
        <v>0</v>
      </c>
      <c r="AC7" s="179">
        <f>IFERROR(AVERAGE(Y7:AB7),"-")</f>
        <v>0</v>
      </c>
      <c r="AD7" s="183"/>
      <c r="AE7" s="35"/>
      <c r="AF7" s="36"/>
      <c r="AG7" s="184"/>
    </row>
    <row r="8" spans="1:33" ht="27" customHeight="1" thickBot="1" x14ac:dyDescent="0.3">
      <c r="A8" s="596" t="s">
        <v>294</v>
      </c>
      <c r="B8" s="597"/>
      <c r="C8" s="597"/>
      <c r="D8" s="597"/>
      <c r="E8" s="597"/>
      <c r="F8" s="597"/>
      <c r="G8" s="597"/>
      <c r="H8" s="597"/>
      <c r="I8" s="597"/>
      <c r="J8" s="597"/>
      <c r="K8" s="597"/>
      <c r="L8" s="598"/>
      <c r="M8" s="367" t="str">
        <f>IFERROR(AVERAGE(M7:M7),"-")</f>
        <v>-</v>
      </c>
      <c r="N8" s="204"/>
      <c r="O8" s="136"/>
      <c r="P8" s="616">
        <f>IFERROR(AVERAGE(P7:P7),"-")</f>
        <v>0</v>
      </c>
      <c r="Q8" s="373" t="str">
        <f>IFERROR(AVERAGE(Q7:Q7),"-")</f>
        <v>-</v>
      </c>
      <c r="R8" s="204"/>
      <c r="S8" s="136"/>
      <c r="T8" s="747">
        <f>IFERROR(AVERAGE(T7:T7),"-")</f>
        <v>0</v>
      </c>
      <c r="U8" s="164">
        <v>0.98399999999999999</v>
      </c>
      <c r="V8" s="204"/>
      <c r="W8" s="136"/>
      <c r="X8" s="616">
        <f t="shared" ref="X8:AC8" si="0">IFERROR(AVERAGE(X7:X7),"-")</f>
        <v>0</v>
      </c>
      <c r="Y8" s="192" t="str">
        <f t="shared" si="0"/>
        <v>-</v>
      </c>
      <c r="Z8" s="193">
        <f t="shared" si="0"/>
        <v>0</v>
      </c>
      <c r="AA8" s="193">
        <f t="shared" si="0"/>
        <v>0</v>
      </c>
      <c r="AB8" s="59">
        <f t="shared" si="0"/>
        <v>0</v>
      </c>
      <c r="AC8" s="698">
        <f t="shared" si="0"/>
        <v>0</v>
      </c>
      <c r="AD8" s="187"/>
      <c r="AE8" s="188"/>
      <c r="AF8" s="189"/>
      <c r="AG8" s="190"/>
    </row>
    <row r="9" spans="1:33" ht="27" thickBot="1" x14ac:dyDescent="0.3">
      <c r="A9" s="29"/>
      <c r="B9" s="29"/>
      <c r="C9" s="29"/>
      <c r="D9" s="29"/>
      <c r="E9" s="29"/>
      <c r="F9" s="38"/>
      <c r="G9" s="29"/>
      <c r="H9" s="29"/>
      <c r="I9" s="29"/>
      <c r="J9" s="29"/>
      <c r="K9" s="29"/>
      <c r="L9" s="29"/>
      <c r="M9" s="170"/>
      <c r="N9" s="255"/>
      <c r="O9" s="167" t="s">
        <v>314</v>
      </c>
      <c r="P9" s="617"/>
      <c r="Q9" s="191"/>
      <c r="R9" s="171"/>
      <c r="S9" s="167" t="s">
        <v>297</v>
      </c>
      <c r="T9" s="748"/>
      <c r="U9" s="191"/>
      <c r="V9" s="255"/>
      <c r="W9" s="167" t="s">
        <v>298</v>
      </c>
      <c r="X9" s="617"/>
      <c r="Y9" s="194"/>
      <c r="Z9" s="195"/>
      <c r="AA9" s="196"/>
      <c r="AB9" s="180" t="s">
        <v>295</v>
      </c>
      <c r="AC9" s="699"/>
      <c r="AD9" s="29"/>
      <c r="AE9" s="29"/>
      <c r="AF9" s="29"/>
      <c r="AG9" s="29"/>
    </row>
  </sheetData>
  <mergeCells count="35">
    <mergeCell ref="A1:B1"/>
    <mergeCell ref="C1:AD1"/>
    <mergeCell ref="AE1:AG2"/>
    <mergeCell ref="A2:B3"/>
    <mergeCell ref="C2:AD3"/>
    <mergeCell ref="AE3:AG3"/>
    <mergeCell ref="A4:D4"/>
    <mergeCell ref="A5:A6"/>
    <mergeCell ref="B5:B6"/>
    <mergeCell ref="C5:C6"/>
    <mergeCell ref="D5:D6"/>
    <mergeCell ref="AD5:AG5"/>
    <mergeCell ref="W5:W6"/>
    <mergeCell ref="X8:X9"/>
    <mergeCell ref="AC8:AC9"/>
    <mergeCell ref="L5:L6"/>
    <mergeCell ref="N5:N6"/>
    <mergeCell ref="O5:O6"/>
    <mergeCell ref="R5:R6"/>
    <mergeCell ref="S5:S6"/>
    <mergeCell ref="V5:V6"/>
    <mergeCell ref="P5:P6"/>
    <mergeCell ref="T5:T6"/>
    <mergeCell ref="T8:T9"/>
    <mergeCell ref="A8:L8"/>
    <mergeCell ref="P8:P9"/>
    <mergeCell ref="X5:X6"/>
    <mergeCell ref="Y5:AC5"/>
    <mergeCell ref="E5:E6"/>
    <mergeCell ref="F5:F6"/>
    <mergeCell ref="G5:G6"/>
    <mergeCell ref="H5:H6"/>
    <mergeCell ref="I5:I6"/>
    <mergeCell ref="J5:J6"/>
    <mergeCell ref="K5:K6"/>
  </mergeCells>
  <conditionalFormatting sqref="AC8 Y7:AC7">
    <cfRule type="cellIs" dxfId="26" priority="1" operator="lessThan">
      <formula>0.6</formula>
    </cfRule>
    <cfRule type="cellIs" dxfId="25" priority="2" operator="between">
      <formula>60%</formula>
      <formula>79%</formula>
    </cfRule>
    <cfRule type="cellIs" dxfId="24" priority="3" operator="between">
      <formula>80%</formula>
      <formula>100%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4"/>
  <sheetViews>
    <sheetView workbookViewId="0">
      <selection activeCell="B51" sqref="B51"/>
    </sheetView>
  </sheetViews>
  <sheetFormatPr baseColWidth="10" defaultRowHeight="12.75" x14ac:dyDescent="0.2"/>
  <cols>
    <col min="1" max="1" width="31.7109375" style="300" customWidth="1"/>
    <col min="2" max="2" width="66.7109375" style="300" customWidth="1"/>
    <col min="3" max="4" width="11.42578125" style="300" customWidth="1"/>
    <col min="5" max="16384" width="11.42578125" style="300"/>
  </cols>
  <sheetData>
    <row r="1" spans="1:4" ht="15" customHeight="1" x14ac:dyDescent="0.2">
      <c r="A1" s="553" t="s">
        <v>562</v>
      </c>
      <c r="B1" s="553"/>
    </row>
    <row r="2" spans="1:4" ht="15" customHeight="1" x14ac:dyDescent="0.2">
      <c r="A2" s="553" t="s">
        <v>565</v>
      </c>
      <c r="B2" s="553"/>
    </row>
    <row r="3" spans="1:4" ht="15" customHeight="1" x14ac:dyDescent="0.2">
      <c r="A3" s="314"/>
      <c r="B3" s="314"/>
    </row>
    <row r="4" spans="1:4" ht="15" customHeight="1" x14ac:dyDescent="0.2">
      <c r="A4" s="314"/>
      <c r="B4" s="314"/>
    </row>
    <row r="5" spans="1:4" ht="15" customHeight="1" x14ac:dyDescent="0.2">
      <c r="A5" s="314"/>
      <c r="B5" s="314"/>
    </row>
    <row r="6" spans="1:4" ht="15" customHeight="1" x14ac:dyDescent="0.2">
      <c r="A6" s="314"/>
      <c r="B6" s="314"/>
    </row>
    <row r="7" spans="1:4" ht="15" customHeight="1" x14ac:dyDescent="0.2">
      <c r="A7" s="314"/>
      <c r="B7" s="314"/>
    </row>
    <row r="8" spans="1:4" ht="30.75" customHeight="1" x14ac:dyDescent="0.2">
      <c r="A8" s="555" t="s">
        <v>572</v>
      </c>
      <c r="B8" s="555"/>
      <c r="C8" s="301"/>
      <c r="D8" s="301"/>
    </row>
    <row r="9" spans="1:4" ht="30.75" customHeight="1" x14ac:dyDescent="0.2">
      <c r="A9" s="556" t="s">
        <v>575</v>
      </c>
      <c r="B9" s="556"/>
      <c r="D9" s="301"/>
    </row>
    <row r="10" spans="1:4" ht="26.25" customHeight="1" x14ac:dyDescent="0.2">
      <c r="A10" s="305" t="s">
        <v>1</v>
      </c>
      <c r="B10" s="305" t="s">
        <v>589</v>
      </c>
      <c r="C10" s="301"/>
      <c r="D10" s="301"/>
    </row>
    <row r="11" spans="1:4" x14ac:dyDescent="0.2">
      <c r="A11" s="305" t="s">
        <v>3</v>
      </c>
      <c r="B11" s="305" t="s">
        <v>590</v>
      </c>
      <c r="C11" s="301"/>
      <c r="D11" s="301"/>
    </row>
    <row r="12" spans="1:4" x14ac:dyDescent="0.2">
      <c r="A12" s="305" t="s">
        <v>194</v>
      </c>
      <c r="B12" s="305" t="s">
        <v>602</v>
      </c>
      <c r="C12" s="301"/>
      <c r="D12" s="301"/>
    </row>
    <row r="13" spans="1:4" x14ac:dyDescent="0.2">
      <c r="A13" s="305" t="s">
        <v>195</v>
      </c>
      <c r="B13" s="305" t="s">
        <v>591</v>
      </c>
      <c r="C13" s="301"/>
      <c r="D13" s="301"/>
    </row>
    <row r="14" spans="1:4" ht="25.5" x14ac:dyDescent="0.2">
      <c r="A14" s="305" t="s">
        <v>196</v>
      </c>
      <c r="B14" s="305" t="s">
        <v>593</v>
      </c>
      <c r="C14" s="301"/>
      <c r="D14" s="301"/>
    </row>
    <row r="15" spans="1:4" ht="30" customHeight="1" x14ac:dyDescent="0.2">
      <c r="A15" s="306" t="s">
        <v>231</v>
      </c>
      <c r="B15" s="306" t="s">
        <v>592</v>
      </c>
      <c r="C15" s="301"/>
      <c r="D15" s="301"/>
    </row>
    <row r="16" spans="1:4" ht="38.25" x14ac:dyDescent="0.2">
      <c r="A16" s="305" t="s">
        <v>228</v>
      </c>
      <c r="B16" s="305" t="s">
        <v>603</v>
      </c>
      <c r="C16" s="301"/>
      <c r="D16" s="301"/>
    </row>
    <row r="17" spans="1:4" ht="25.5" x14ac:dyDescent="0.2">
      <c r="A17" s="305" t="s">
        <v>594</v>
      </c>
      <c r="B17" s="305" t="s">
        <v>595</v>
      </c>
      <c r="C17" s="301"/>
      <c r="D17" s="301"/>
    </row>
    <row r="18" spans="1:4" ht="25.5" x14ac:dyDescent="0.2">
      <c r="A18" s="305" t="s">
        <v>8</v>
      </c>
      <c r="B18" s="305" t="s">
        <v>596</v>
      </c>
      <c r="C18" s="301"/>
      <c r="D18" s="301"/>
    </row>
    <row r="19" spans="1:4" x14ac:dyDescent="0.2">
      <c r="A19" s="305" t="s">
        <v>495</v>
      </c>
      <c r="B19" s="305" t="s">
        <v>597</v>
      </c>
      <c r="C19" s="301"/>
      <c r="D19" s="301"/>
    </row>
    <row r="20" spans="1:4" x14ac:dyDescent="0.2">
      <c r="A20" s="305" t="s">
        <v>9</v>
      </c>
      <c r="B20" s="305" t="s">
        <v>598</v>
      </c>
      <c r="C20" s="301"/>
      <c r="D20" s="301"/>
    </row>
    <row r="21" spans="1:4" ht="5.25" customHeight="1" x14ac:dyDescent="0.2">
      <c r="A21" s="307"/>
      <c r="B21" s="308"/>
      <c r="C21" s="301"/>
      <c r="D21" s="301"/>
    </row>
    <row r="22" spans="1:4" ht="25.5" x14ac:dyDescent="0.2">
      <c r="A22" s="554" t="s">
        <v>563</v>
      </c>
      <c r="B22" s="302" t="s">
        <v>569</v>
      </c>
    </row>
    <row r="23" spans="1:4" ht="38.25" x14ac:dyDescent="0.2">
      <c r="A23" s="554"/>
      <c r="B23" s="302" t="s">
        <v>566</v>
      </c>
    </row>
    <row r="24" spans="1:4" ht="63.75" x14ac:dyDescent="0.2">
      <c r="A24" s="76" t="s">
        <v>421</v>
      </c>
      <c r="B24" s="76" t="s">
        <v>567</v>
      </c>
    </row>
    <row r="25" spans="1:4" ht="25.5" x14ac:dyDescent="0.2">
      <c r="A25" s="303" t="s">
        <v>570</v>
      </c>
      <c r="B25" s="309" t="s">
        <v>600</v>
      </c>
    </row>
    <row r="26" spans="1:4" ht="25.5" x14ac:dyDescent="0.2">
      <c r="A26" s="303" t="s">
        <v>599</v>
      </c>
      <c r="B26" s="303" t="s">
        <v>571</v>
      </c>
    </row>
    <row r="27" spans="1:4" ht="25.5" x14ac:dyDescent="0.2">
      <c r="A27" s="303" t="s">
        <v>573</v>
      </c>
      <c r="B27" s="303" t="s">
        <v>574</v>
      </c>
    </row>
    <row r="28" spans="1:4" x14ac:dyDescent="0.2">
      <c r="A28" s="310" t="s">
        <v>557</v>
      </c>
      <c r="B28" s="309" t="s">
        <v>600</v>
      </c>
    </row>
    <row r="29" spans="1:4" x14ac:dyDescent="0.2">
      <c r="A29" s="311"/>
      <c r="B29" s="312"/>
    </row>
    <row r="30" spans="1:4" x14ac:dyDescent="0.2">
      <c r="A30" s="311"/>
      <c r="B30" s="312"/>
    </row>
    <row r="31" spans="1:4" x14ac:dyDescent="0.2">
      <c r="A31" s="311"/>
      <c r="B31" s="312"/>
    </row>
    <row r="32" spans="1:4" x14ac:dyDescent="0.2">
      <c r="A32" s="311"/>
      <c r="B32" s="312"/>
    </row>
    <row r="33" spans="1:2" x14ac:dyDescent="0.2">
      <c r="A33" s="311"/>
      <c r="B33" s="312"/>
    </row>
    <row r="34" spans="1:2" x14ac:dyDescent="0.2">
      <c r="A34" s="311"/>
      <c r="B34" s="312"/>
    </row>
    <row r="35" spans="1:2" x14ac:dyDescent="0.2">
      <c r="A35" s="311"/>
      <c r="B35" s="312"/>
    </row>
    <row r="36" spans="1:2" x14ac:dyDescent="0.2">
      <c r="A36" s="311"/>
      <c r="B36" s="312"/>
    </row>
    <row r="37" spans="1:2" x14ac:dyDescent="0.2">
      <c r="A37" s="300" t="s">
        <v>601</v>
      </c>
    </row>
    <row r="38" spans="1:2" x14ac:dyDescent="0.2">
      <c r="A38" s="14"/>
      <c r="B38" s="304"/>
    </row>
    <row r="39" spans="1:2" x14ac:dyDescent="0.2">
      <c r="A39" s="317" t="s">
        <v>612</v>
      </c>
      <c r="B39" s="76" t="s">
        <v>613</v>
      </c>
    </row>
    <row r="40" spans="1:2" ht="25.5" x14ac:dyDescent="0.2">
      <c r="A40" s="76" t="s">
        <v>196</v>
      </c>
      <c r="B40" s="303" t="s">
        <v>614</v>
      </c>
    </row>
    <row r="41" spans="1:2" x14ac:dyDescent="0.2">
      <c r="A41" s="76" t="s">
        <v>616</v>
      </c>
      <c r="B41" s="303" t="s">
        <v>615</v>
      </c>
    </row>
    <row r="42" spans="1:2" x14ac:dyDescent="0.2">
      <c r="A42" s="317" t="s">
        <v>617</v>
      </c>
      <c r="B42" s="317" t="s">
        <v>618</v>
      </c>
    </row>
    <row r="43" spans="1:2" ht="76.5" x14ac:dyDescent="0.2">
      <c r="A43" s="76" t="s">
        <v>619</v>
      </c>
      <c r="B43" s="303" t="s">
        <v>622</v>
      </c>
    </row>
    <row r="44" spans="1:2" ht="38.25" x14ac:dyDescent="0.2">
      <c r="A44" s="76" t="s">
        <v>620</v>
      </c>
      <c r="B44" s="76" t="s">
        <v>621</v>
      </c>
    </row>
  </sheetData>
  <mergeCells count="5">
    <mergeCell ref="A1:B1"/>
    <mergeCell ref="A2:B2"/>
    <mergeCell ref="A22:A23"/>
    <mergeCell ref="A8:B8"/>
    <mergeCell ref="A9:B9"/>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G9"/>
  <sheetViews>
    <sheetView topLeftCell="A2" zoomScale="70" zoomScaleNormal="70" workbookViewId="0">
      <selection activeCell="P4" sqref="P1:Y1048576"/>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140625" customWidth="1"/>
    <col min="7" max="7" width="16.140625" customWidth="1"/>
    <col min="8" max="8" width="25.28515625" customWidth="1"/>
    <col min="9" max="11" width="14.42578125" customWidth="1"/>
    <col min="12" max="12" width="16.7109375" customWidth="1"/>
    <col min="13" max="14" width="19.42578125" customWidth="1"/>
    <col min="15" max="15" width="33.5703125" customWidth="1"/>
    <col min="16" max="17" width="19.42578125" customWidth="1"/>
    <col min="18" max="18" width="29.28515625" customWidth="1"/>
    <col min="19" max="21" width="19.42578125" customWidth="1"/>
    <col min="22" max="22" width="29.28515625" customWidth="1"/>
    <col min="23" max="24" width="19.42578125" customWidth="1"/>
    <col min="25" max="29" width="17.7109375" customWidth="1"/>
    <col min="30" max="33" width="26.5703125" customWidth="1"/>
  </cols>
  <sheetData>
    <row r="1" spans="1:33"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772</v>
      </c>
      <c r="AF3" s="613"/>
      <c r="AG3" s="613"/>
    </row>
    <row r="4" spans="1:33" ht="15.75" thickBot="1" x14ac:dyDescent="0.3">
      <c r="A4" s="627" t="s">
        <v>193</v>
      </c>
      <c r="B4" s="627"/>
      <c r="C4" s="627"/>
      <c r="D4" s="627"/>
      <c r="E4" s="29"/>
      <c r="F4" s="38"/>
      <c r="G4" s="29"/>
      <c r="H4" s="29"/>
      <c r="I4" s="29"/>
      <c r="J4" s="29"/>
      <c r="K4" s="29"/>
      <c r="L4" s="29"/>
      <c r="M4" s="56"/>
      <c r="N4" s="29"/>
      <c r="O4" s="29"/>
      <c r="P4" s="29"/>
      <c r="Q4" s="56"/>
      <c r="R4" s="29"/>
      <c r="S4" s="29"/>
      <c r="T4" s="29"/>
      <c r="U4" s="56"/>
      <c r="V4" s="29"/>
      <c r="W4" s="29"/>
      <c r="X4" s="29"/>
      <c r="Y4" s="29"/>
      <c r="Z4" s="29"/>
      <c r="AA4" s="29"/>
      <c r="AB4" s="29"/>
      <c r="AC4" s="29"/>
      <c r="AD4" s="29"/>
      <c r="AE4" s="29"/>
      <c r="AF4" s="29"/>
      <c r="AG4" s="29"/>
    </row>
    <row r="5" spans="1:33" ht="57" customHeight="1" x14ac:dyDescent="0.25">
      <c r="A5" s="606" t="s">
        <v>1</v>
      </c>
      <c r="B5" s="594" t="s">
        <v>3</v>
      </c>
      <c r="C5" s="594" t="s">
        <v>194</v>
      </c>
      <c r="D5" s="594" t="s">
        <v>195</v>
      </c>
      <c r="E5" s="594" t="s">
        <v>196</v>
      </c>
      <c r="F5" s="642" t="s">
        <v>231</v>
      </c>
      <c r="G5" s="594" t="s">
        <v>228</v>
      </c>
      <c r="H5" s="594" t="s">
        <v>227</v>
      </c>
      <c r="I5" s="594" t="s">
        <v>8</v>
      </c>
      <c r="J5" s="594" t="s">
        <v>495</v>
      </c>
      <c r="K5" s="594" t="s">
        <v>522</v>
      </c>
      <c r="L5" s="717" t="s">
        <v>9</v>
      </c>
      <c r="M5" s="199" t="s">
        <v>329</v>
      </c>
      <c r="N5" s="676" t="s">
        <v>421</v>
      </c>
      <c r="O5" s="610" t="s">
        <v>517</v>
      </c>
      <c r="P5" s="608" t="s">
        <v>488</v>
      </c>
      <c r="Q5" s="199" t="s">
        <v>329</v>
      </c>
      <c r="R5" s="676" t="s">
        <v>421</v>
      </c>
      <c r="S5" s="610" t="s">
        <v>517</v>
      </c>
      <c r="T5" s="608" t="s">
        <v>491</v>
      </c>
      <c r="U5" s="199" t="s">
        <v>329</v>
      </c>
      <c r="V5" s="676" t="s">
        <v>421</v>
      </c>
      <c r="W5" s="610" t="s">
        <v>517</v>
      </c>
      <c r="X5" s="608" t="s">
        <v>317</v>
      </c>
      <c r="Y5" s="652" t="s">
        <v>11</v>
      </c>
      <c r="Z5" s="653"/>
      <c r="AA5" s="653"/>
      <c r="AB5" s="653"/>
      <c r="AC5" s="654"/>
      <c r="AD5" s="624" t="s">
        <v>557</v>
      </c>
      <c r="AE5" s="625"/>
      <c r="AF5" s="625"/>
      <c r="AG5" s="626"/>
    </row>
    <row r="6" spans="1:33" ht="57" customHeight="1" x14ac:dyDescent="0.25">
      <c r="A6" s="607"/>
      <c r="B6" s="535"/>
      <c r="C6" s="535"/>
      <c r="D6" s="535"/>
      <c r="E6" s="535"/>
      <c r="F6" s="643"/>
      <c r="G6" s="535"/>
      <c r="H6" s="535"/>
      <c r="I6" s="535"/>
      <c r="J6" s="535"/>
      <c r="K6" s="535"/>
      <c r="L6" s="718"/>
      <c r="M6" s="163" t="s">
        <v>299</v>
      </c>
      <c r="N6" s="677"/>
      <c r="O6" s="611"/>
      <c r="P6" s="609"/>
      <c r="Q6" s="163" t="s">
        <v>288</v>
      </c>
      <c r="R6" s="677"/>
      <c r="S6" s="611"/>
      <c r="T6" s="609"/>
      <c r="U6" s="163" t="s">
        <v>313</v>
      </c>
      <c r="V6" s="677"/>
      <c r="W6" s="611"/>
      <c r="X6" s="609"/>
      <c r="Y6" s="176" t="s">
        <v>198</v>
      </c>
      <c r="Z6" s="5" t="s">
        <v>199</v>
      </c>
      <c r="AA6" s="5" t="s">
        <v>200</v>
      </c>
      <c r="AB6" s="5" t="s">
        <v>201</v>
      </c>
      <c r="AC6" s="177" t="s">
        <v>20</v>
      </c>
      <c r="AD6" s="181" t="s">
        <v>202</v>
      </c>
      <c r="AE6" s="33" t="s">
        <v>203</v>
      </c>
      <c r="AF6" s="33" t="s">
        <v>204</v>
      </c>
      <c r="AG6" s="182" t="s">
        <v>205</v>
      </c>
    </row>
    <row r="7" spans="1:33" ht="129.75" customHeight="1" x14ac:dyDescent="0.25">
      <c r="A7" s="320" t="s">
        <v>219</v>
      </c>
      <c r="B7" s="321" t="s">
        <v>322</v>
      </c>
      <c r="C7" s="318" t="s">
        <v>323</v>
      </c>
      <c r="D7" s="318" t="s">
        <v>220</v>
      </c>
      <c r="E7" s="318" t="s">
        <v>327</v>
      </c>
      <c r="F7" s="319" t="s">
        <v>328</v>
      </c>
      <c r="G7" s="76" t="s">
        <v>477</v>
      </c>
      <c r="H7" s="76" t="s">
        <v>476</v>
      </c>
      <c r="I7" s="74">
        <v>0.9</v>
      </c>
      <c r="J7" s="160" t="s">
        <v>496</v>
      </c>
      <c r="K7" s="146" t="s">
        <v>467</v>
      </c>
      <c r="L7" s="326" t="s">
        <v>506</v>
      </c>
      <c r="M7" s="164"/>
      <c r="N7" s="55"/>
      <c r="O7" s="55"/>
      <c r="P7" s="165">
        <f>+M7</f>
        <v>0</v>
      </c>
      <c r="Q7" s="164"/>
      <c r="R7" s="55"/>
      <c r="S7" s="55"/>
      <c r="T7" s="165">
        <f>+Q7</f>
        <v>0</v>
      </c>
      <c r="U7" s="164"/>
      <c r="V7" s="55"/>
      <c r="W7" s="55"/>
      <c r="X7" s="165">
        <f>+U7</f>
        <v>0</v>
      </c>
      <c r="Y7" s="178" t="s">
        <v>226</v>
      </c>
      <c r="Z7" s="26">
        <f>IFERROR(IF(P7&gt;=0.9,1,(P7*100%)/0.9),"-")</f>
        <v>0</v>
      </c>
      <c r="AA7" s="26">
        <f>IFERROR(IF(T7&gt;=0.9,1,(T7*100%)/0.9),"-")</f>
        <v>0</v>
      </c>
      <c r="AB7" s="26">
        <f>IFERROR(IF(X7&gt;=0.9,1,(X7*100%)/0.9),"-")</f>
        <v>0</v>
      </c>
      <c r="AC7" s="179">
        <f>IFERROR(AVERAGE(Y7:AB7),"-")</f>
        <v>0</v>
      </c>
      <c r="AD7" s="183"/>
      <c r="AE7" s="35"/>
      <c r="AF7" s="36"/>
      <c r="AG7" s="184"/>
    </row>
    <row r="8" spans="1:33" ht="27" customHeight="1" thickBot="1" x14ac:dyDescent="0.3">
      <c r="A8" s="751" t="s">
        <v>294</v>
      </c>
      <c r="B8" s="752"/>
      <c r="C8" s="752"/>
      <c r="D8" s="752"/>
      <c r="E8" s="752"/>
      <c r="F8" s="752"/>
      <c r="G8" s="752"/>
      <c r="H8" s="752"/>
      <c r="I8" s="752"/>
      <c r="J8" s="752"/>
      <c r="K8" s="752"/>
      <c r="L8" s="752"/>
      <c r="M8" s="367" t="str">
        <f t="shared" ref="M8:AC8" si="0">IFERROR(AVERAGE(M7:M7),"-")</f>
        <v>-</v>
      </c>
      <c r="N8" s="256" t="str">
        <f t="shared" si="0"/>
        <v>-</v>
      </c>
      <c r="O8" s="80" t="str">
        <f t="shared" si="0"/>
        <v>-</v>
      </c>
      <c r="P8" s="700">
        <f t="shared" si="0"/>
        <v>0</v>
      </c>
      <c r="Q8" s="404" t="str">
        <f t="shared" si="0"/>
        <v>-</v>
      </c>
      <c r="R8" s="256" t="str">
        <f t="shared" si="0"/>
        <v>-</v>
      </c>
      <c r="S8" s="80" t="str">
        <f t="shared" si="0"/>
        <v>-</v>
      </c>
      <c r="T8" s="749">
        <f t="shared" si="0"/>
        <v>0</v>
      </c>
      <c r="U8" s="192" t="str">
        <f t="shared" si="0"/>
        <v>-</v>
      </c>
      <c r="V8" s="256" t="str">
        <f t="shared" si="0"/>
        <v>-</v>
      </c>
      <c r="W8" s="80" t="str">
        <f t="shared" si="0"/>
        <v>-</v>
      </c>
      <c r="X8" s="700">
        <f t="shared" si="0"/>
        <v>0</v>
      </c>
      <c r="Y8" s="192" t="str">
        <f t="shared" si="0"/>
        <v>-</v>
      </c>
      <c r="Z8" s="193">
        <f t="shared" si="0"/>
        <v>0</v>
      </c>
      <c r="AA8" s="193">
        <f t="shared" si="0"/>
        <v>0</v>
      </c>
      <c r="AB8" s="59">
        <f t="shared" si="0"/>
        <v>0</v>
      </c>
      <c r="AC8" s="698">
        <f t="shared" si="0"/>
        <v>0</v>
      </c>
      <c r="AD8" s="187"/>
      <c r="AE8" s="188"/>
      <c r="AF8" s="189"/>
      <c r="AG8" s="190"/>
    </row>
    <row r="9" spans="1:33" ht="27" thickBot="1" x14ac:dyDescent="0.3">
      <c r="A9" s="29"/>
      <c r="B9" s="29"/>
      <c r="C9" s="29"/>
      <c r="D9" s="29"/>
      <c r="E9" s="29"/>
      <c r="F9" s="38"/>
      <c r="G9" s="29"/>
      <c r="H9" s="29"/>
      <c r="I9" s="29"/>
      <c r="J9" s="29"/>
      <c r="K9" s="29"/>
      <c r="L9" s="29"/>
      <c r="M9" s="170"/>
      <c r="N9" s="171"/>
      <c r="O9" s="167" t="s">
        <v>314</v>
      </c>
      <c r="P9" s="701"/>
      <c r="Q9" s="191"/>
      <c r="R9" s="171"/>
      <c r="S9" s="167" t="s">
        <v>297</v>
      </c>
      <c r="T9" s="750"/>
      <c r="U9" s="191"/>
      <c r="V9" s="171"/>
      <c r="W9" s="167" t="s">
        <v>518</v>
      </c>
      <c r="X9" s="701"/>
      <c r="Y9" s="194"/>
      <c r="Z9" s="195"/>
      <c r="AA9" s="196"/>
      <c r="AB9" s="180" t="s">
        <v>295</v>
      </c>
      <c r="AC9" s="699"/>
      <c r="AD9" s="29"/>
      <c r="AE9" s="29"/>
      <c r="AF9" s="29"/>
      <c r="AG9" s="29"/>
    </row>
  </sheetData>
  <mergeCells count="35">
    <mergeCell ref="A1:B1"/>
    <mergeCell ref="C1:AD1"/>
    <mergeCell ref="AE1:AG2"/>
    <mergeCell ref="A2:B3"/>
    <mergeCell ref="C2:AD3"/>
    <mergeCell ref="AE3:AG3"/>
    <mergeCell ref="A4:D4"/>
    <mergeCell ref="A5:A6"/>
    <mergeCell ref="B5:B6"/>
    <mergeCell ref="C5:C6"/>
    <mergeCell ref="D5:D6"/>
    <mergeCell ref="AD5:AG5"/>
    <mergeCell ref="W5:W6"/>
    <mergeCell ref="X8:X9"/>
    <mergeCell ref="AC8:AC9"/>
    <mergeCell ref="L5:L6"/>
    <mergeCell ref="N5:N6"/>
    <mergeCell ref="O5:O6"/>
    <mergeCell ref="R5:R6"/>
    <mergeCell ref="S5:S6"/>
    <mergeCell ref="V5:V6"/>
    <mergeCell ref="P5:P6"/>
    <mergeCell ref="T5:T6"/>
    <mergeCell ref="T8:T9"/>
    <mergeCell ref="A8:L8"/>
    <mergeCell ref="P8:P9"/>
    <mergeCell ref="X5:X6"/>
    <mergeCell ref="Y5:AC5"/>
    <mergeCell ref="E5:E6"/>
    <mergeCell ref="F5:F6"/>
    <mergeCell ref="G5:G6"/>
    <mergeCell ref="H5:H6"/>
    <mergeCell ref="I5:I6"/>
    <mergeCell ref="J5:J6"/>
    <mergeCell ref="K5:K6"/>
  </mergeCells>
  <conditionalFormatting sqref="AC8 Y7:AC7">
    <cfRule type="cellIs" dxfId="23" priority="1" operator="lessThan">
      <formula>0.6</formula>
    </cfRule>
    <cfRule type="cellIs" dxfId="22" priority="2" operator="between">
      <formula>60%</formula>
      <formula>79%</formula>
    </cfRule>
    <cfRule type="cellIs" dxfId="21" priority="3" operator="between">
      <formula>80%</formula>
      <formula>100%</formula>
    </cfRule>
  </conditionalFormatting>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G10"/>
  <sheetViews>
    <sheetView topLeftCell="A2" zoomScale="70" zoomScaleNormal="70" workbookViewId="0">
      <selection activeCell="P4" sqref="P1:Y1048576"/>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140625" customWidth="1"/>
    <col min="7" max="7" width="16.140625" customWidth="1"/>
    <col min="8" max="8" width="25.28515625" customWidth="1"/>
    <col min="9" max="11" width="14.42578125" customWidth="1"/>
    <col min="12" max="12" width="16.7109375" customWidth="1"/>
    <col min="13" max="13" width="19.42578125" customWidth="1"/>
    <col min="14" max="14" width="53.28515625" customWidth="1"/>
    <col min="15" max="15" width="44.85546875" customWidth="1"/>
    <col min="16" max="17" width="19.42578125" customWidth="1"/>
    <col min="18" max="18" width="29.28515625" customWidth="1"/>
    <col min="19" max="21" width="19.42578125" customWidth="1"/>
    <col min="22" max="22" width="24" customWidth="1"/>
    <col min="23" max="23" width="25.28515625" customWidth="1"/>
    <col min="24" max="24" width="19.42578125" customWidth="1"/>
    <col min="25" max="29" width="17.7109375" customWidth="1"/>
    <col min="30" max="33" width="26.5703125" customWidth="1"/>
  </cols>
  <sheetData>
    <row r="1" spans="1:33"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772</v>
      </c>
      <c r="AF3" s="613"/>
      <c r="AG3" s="613"/>
    </row>
    <row r="4" spans="1:33" ht="15.75" thickBot="1" x14ac:dyDescent="0.3">
      <c r="A4" s="627" t="s">
        <v>193</v>
      </c>
      <c r="B4" s="627"/>
      <c r="C4" s="627"/>
      <c r="D4" s="627"/>
      <c r="E4" s="29"/>
      <c r="F4" s="38"/>
      <c r="G4" s="29"/>
      <c r="H4" s="29"/>
      <c r="I4" s="29"/>
      <c r="J4" s="29"/>
      <c r="K4" s="29"/>
      <c r="L4" s="29"/>
      <c r="M4" s="56"/>
      <c r="N4" s="29"/>
      <c r="O4" s="29"/>
      <c r="P4" s="29"/>
      <c r="Q4" s="29"/>
      <c r="R4" s="29"/>
      <c r="S4" s="29"/>
      <c r="T4" s="29"/>
      <c r="U4" s="56"/>
      <c r="V4" s="29"/>
      <c r="W4" s="29"/>
      <c r="X4" s="29"/>
      <c r="Y4" s="29"/>
      <c r="Z4" s="29"/>
      <c r="AA4" s="29"/>
      <c r="AB4" s="29"/>
      <c r="AC4" s="29"/>
      <c r="AD4" s="29"/>
      <c r="AE4" s="29"/>
      <c r="AF4" s="29"/>
      <c r="AG4" s="29"/>
    </row>
    <row r="5" spans="1:33" ht="57" customHeight="1" x14ac:dyDescent="0.25">
      <c r="A5" s="606" t="s">
        <v>1</v>
      </c>
      <c r="B5" s="594" t="s">
        <v>3</v>
      </c>
      <c r="C5" s="594" t="s">
        <v>194</v>
      </c>
      <c r="D5" s="594" t="s">
        <v>195</v>
      </c>
      <c r="E5" s="594" t="s">
        <v>196</v>
      </c>
      <c r="F5" s="642" t="s">
        <v>742</v>
      </c>
      <c r="G5" s="594" t="s">
        <v>228</v>
      </c>
      <c r="H5" s="594" t="s">
        <v>227</v>
      </c>
      <c r="I5" s="594" t="s">
        <v>8</v>
      </c>
      <c r="J5" s="594" t="s">
        <v>495</v>
      </c>
      <c r="K5" s="594" t="s">
        <v>519</v>
      </c>
      <c r="L5" s="717" t="s">
        <v>9</v>
      </c>
      <c r="M5" s="199" t="s">
        <v>770</v>
      </c>
      <c r="N5" s="676" t="s">
        <v>421</v>
      </c>
      <c r="O5" s="610" t="s">
        <v>517</v>
      </c>
      <c r="P5" s="608" t="s">
        <v>488</v>
      </c>
      <c r="Q5" s="199" t="s">
        <v>770</v>
      </c>
      <c r="R5" s="755" t="s">
        <v>421</v>
      </c>
      <c r="S5" s="610" t="s">
        <v>517</v>
      </c>
      <c r="T5" s="608" t="s">
        <v>491</v>
      </c>
      <c r="U5" s="199" t="s">
        <v>770</v>
      </c>
      <c r="V5" s="676" t="s">
        <v>421</v>
      </c>
      <c r="W5" s="610" t="s">
        <v>517</v>
      </c>
      <c r="X5" s="608" t="s">
        <v>317</v>
      </c>
      <c r="Y5" s="652" t="s">
        <v>11</v>
      </c>
      <c r="Z5" s="653"/>
      <c r="AA5" s="653"/>
      <c r="AB5" s="653"/>
      <c r="AC5" s="654"/>
      <c r="AD5" s="624" t="s">
        <v>557</v>
      </c>
      <c r="AE5" s="625"/>
      <c r="AF5" s="625"/>
      <c r="AG5" s="626"/>
    </row>
    <row r="6" spans="1:33" ht="57" customHeight="1" x14ac:dyDescent="0.25">
      <c r="A6" s="607"/>
      <c r="B6" s="535"/>
      <c r="C6" s="535"/>
      <c r="D6" s="535"/>
      <c r="E6" s="535"/>
      <c r="F6" s="643"/>
      <c r="G6" s="535"/>
      <c r="H6" s="535"/>
      <c r="I6" s="535"/>
      <c r="J6" s="535"/>
      <c r="K6" s="535"/>
      <c r="L6" s="718"/>
      <c r="M6" s="163" t="s">
        <v>299</v>
      </c>
      <c r="N6" s="677"/>
      <c r="O6" s="611"/>
      <c r="P6" s="609"/>
      <c r="Q6" s="163" t="s">
        <v>288</v>
      </c>
      <c r="R6" s="756"/>
      <c r="S6" s="611"/>
      <c r="T6" s="609"/>
      <c r="U6" s="163" t="s">
        <v>313</v>
      </c>
      <c r="V6" s="677"/>
      <c r="W6" s="611"/>
      <c r="X6" s="609"/>
      <c r="Y6" s="176" t="s">
        <v>198</v>
      </c>
      <c r="Z6" s="5" t="s">
        <v>199</v>
      </c>
      <c r="AA6" s="5" t="s">
        <v>200</v>
      </c>
      <c r="AB6" s="5" t="s">
        <v>201</v>
      </c>
      <c r="AC6" s="177" t="s">
        <v>20</v>
      </c>
      <c r="AD6" s="181" t="s">
        <v>202</v>
      </c>
      <c r="AE6" s="33" t="s">
        <v>203</v>
      </c>
      <c r="AF6" s="33" t="s">
        <v>204</v>
      </c>
      <c r="AG6" s="182" t="s">
        <v>205</v>
      </c>
    </row>
    <row r="7" spans="1:33" ht="132.75" customHeight="1" x14ac:dyDescent="0.25">
      <c r="A7" s="732" t="s">
        <v>219</v>
      </c>
      <c r="B7" s="722" t="s">
        <v>322</v>
      </c>
      <c r="C7" s="600" t="s">
        <v>323</v>
      </c>
      <c r="D7" s="600" t="s">
        <v>157</v>
      </c>
      <c r="E7" s="600" t="s">
        <v>520</v>
      </c>
      <c r="F7" s="644" t="s">
        <v>521</v>
      </c>
      <c r="G7" s="76" t="s">
        <v>741</v>
      </c>
      <c r="H7" s="76" t="s">
        <v>476</v>
      </c>
      <c r="I7" s="74">
        <v>0.9</v>
      </c>
      <c r="J7" s="160" t="s">
        <v>496</v>
      </c>
      <c r="K7" s="146" t="s">
        <v>467</v>
      </c>
      <c r="L7" s="326" t="s">
        <v>744</v>
      </c>
      <c r="M7" s="164"/>
      <c r="N7" s="55"/>
      <c r="O7" s="55"/>
      <c r="P7" s="165">
        <f>+M7</f>
        <v>0</v>
      </c>
      <c r="Q7" s="257"/>
      <c r="R7" s="55"/>
      <c r="S7" s="55"/>
      <c r="T7" s="165">
        <f>+Q7</f>
        <v>0</v>
      </c>
      <c r="U7" s="164"/>
      <c r="V7" s="55"/>
      <c r="W7" s="55"/>
      <c r="X7" s="165" t="e">
        <f>AVERAGE(U7:W7)</f>
        <v>#DIV/0!</v>
      </c>
      <c r="Y7" s="178" t="s">
        <v>226</v>
      </c>
      <c r="Z7" s="26">
        <f>IFERROR(IF(P7&gt;=0.9,1,(P7*100%)/0.9),"-")</f>
        <v>0</v>
      </c>
      <c r="AA7" s="26">
        <f>IFERROR(IF(T7&gt;=0.9,1,(T7*100%)/0.9),"-")</f>
        <v>0</v>
      </c>
      <c r="AB7" s="26" t="str">
        <f>IFERROR(IF(X7&gt;=0.9,1,(X7*100%)/0.9),"-")</f>
        <v>-</v>
      </c>
      <c r="AC7" s="179">
        <f>IFERROR(AVERAGE(Y7:AB7),"-")</f>
        <v>0</v>
      </c>
      <c r="AD7" s="183"/>
      <c r="AE7" s="35"/>
      <c r="AF7" s="36"/>
      <c r="AG7" s="184"/>
    </row>
    <row r="8" spans="1:33" ht="132.75" customHeight="1" x14ac:dyDescent="0.25">
      <c r="A8" s="734"/>
      <c r="B8" s="735"/>
      <c r="C8" s="602"/>
      <c r="D8" s="602"/>
      <c r="E8" s="602"/>
      <c r="F8" s="646"/>
      <c r="G8" s="76" t="s">
        <v>743</v>
      </c>
      <c r="H8" s="76" t="s">
        <v>476</v>
      </c>
      <c r="I8" s="74">
        <v>0.9</v>
      </c>
      <c r="J8" s="160" t="s">
        <v>496</v>
      </c>
      <c r="K8" s="146" t="s">
        <v>745</v>
      </c>
      <c r="L8" s="326" t="s">
        <v>744</v>
      </c>
      <c r="M8" s="164"/>
      <c r="N8" s="55"/>
      <c r="O8" s="55"/>
      <c r="P8" s="165">
        <f>+M8</f>
        <v>0</v>
      </c>
      <c r="Q8" s="496"/>
      <c r="R8" s="55"/>
      <c r="S8" s="55"/>
      <c r="T8" s="165">
        <f>+Q8</f>
        <v>0</v>
      </c>
      <c r="U8" s="164"/>
      <c r="V8" s="55"/>
      <c r="W8" s="55"/>
      <c r="X8" s="165" t="e">
        <f>AVERAGE(U8:W8)</f>
        <v>#DIV/0!</v>
      </c>
      <c r="Y8" s="178" t="s">
        <v>226</v>
      </c>
      <c r="Z8" s="26">
        <f>IFERROR(IF(P8&gt;=0.9,1,(P8*100%)/0.9),"-")</f>
        <v>0</v>
      </c>
      <c r="AA8" s="26">
        <f>IFERROR(IF(T8&gt;=0.9,1,(T8*100%)/0.9),"-")</f>
        <v>0</v>
      </c>
      <c r="AB8" s="26" t="str">
        <f>IFERROR(IF(X8&gt;=0.9,1,(X8*100%)/0.9),"-")</f>
        <v>-</v>
      </c>
      <c r="AC8" s="179">
        <f>IFERROR(AVERAGE(Y8:AB8),"-")</f>
        <v>0</v>
      </c>
      <c r="AD8" s="183"/>
      <c r="AE8" s="35"/>
      <c r="AF8" s="36"/>
      <c r="AG8" s="184"/>
    </row>
    <row r="9" spans="1:33" ht="27" customHeight="1" thickBot="1" x14ac:dyDescent="0.3">
      <c r="A9" s="751" t="s">
        <v>294</v>
      </c>
      <c r="B9" s="752"/>
      <c r="C9" s="752"/>
      <c r="D9" s="752"/>
      <c r="E9" s="752"/>
      <c r="F9" s="752"/>
      <c r="G9" s="752"/>
      <c r="H9" s="752"/>
      <c r="I9" s="752"/>
      <c r="J9" s="752"/>
      <c r="K9" s="752"/>
      <c r="L9" s="752"/>
      <c r="M9" s="367" t="str">
        <f>IFERROR(AVERAGE(M7:M8),"-")</f>
        <v>-</v>
      </c>
      <c r="N9" s="256" t="str">
        <f>IFERROR(AVERAGE(N7:N8),"-")</f>
        <v>-</v>
      </c>
      <c r="O9" s="80" t="str">
        <f t="shared" ref="O9:AB9" si="0">IFERROR(AVERAGE(O7:O7),"-")</f>
        <v>-</v>
      </c>
      <c r="P9" s="700">
        <f>IFERROR(AVERAGE(P7:P8),"-")</f>
        <v>0</v>
      </c>
      <c r="Q9" s="367" t="str">
        <f>IFERROR(AVERAGE(Q7:Q8),"-")</f>
        <v>-</v>
      </c>
      <c r="R9" s="256" t="str">
        <f>IFERROR(AVERAGE(R7:R8),"-")</f>
        <v>-</v>
      </c>
      <c r="S9" s="80" t="str">
        <f t="shared" si="0"/>
        <v>-</v>
      </c>
      <c r="T9" s="753">
        <f>IFERROR(AVERAGE(T7:T8),"-")</f>
        <v>0</v>
      </c>
      <c r="U9" s="367" t="str">
        <f>IFERROR(AVERAGE(U7:U8),"-")</f>
        <v>-</v>
      </c>
      <c r="V9" s="256" t="str">
        <f>IFERROR(AVERAGE(V7:V8),"-")</f>
        <v>-</v>
      </c>
      <c r="W9" s="80" t="str">
        <f t="shared" si="0"/>
        <v>-</v>
      </c>
      <c r="X9" s="700" t="str">
        <f>IFERROR(AVERAGE(X7:X8),"-")</f>
        <v>-</v>
      </c>
      <c r="Y9" s="192" t="str">
        <f t="shared" si="0"/>
        <v>-</v>
      </c>
      <c r="Z9" s="193">
        <f t="shared" si="0"/>
        <v>0</v>
      </c>
      <c r="AA9" s="193">
        <f t="shared" si="0"/>
        <v>0</v>
      </c>
      <c r="AB9" s="59" t="str">
        <f t="shared" si="0"/>
        <v>-</v>
      </c>
      <c r="AC9" s="698">
        <f>IFERROR(AVERAGE(AC7:AC8),"-")</f>
        <v>0</v>
      </c>
      <c r="AD9" s="187"/>
      <c r="AE9" s="188"/>
      <c r="AF9" s="189"/>
      <c r="AG9" s="190"/>
    </row>
    <row r="10" spans="1:33" ht="27" thickBot="1" x14ac:dyDescent="0.3">
      <c r="A10" s="29"/>
      <c r="B10" s="29"/>
      <c r="C10" s="29"/>
      <c r="D10" s="29"/>
      <c r="E10" s="29"/>
      <c r="F10" s="38"/>
      <c r="G10" s="29"/>
      <c r="H10" s="29"/>
      <c r="I10" s="29"/>
      <c r="J10" s="29"/>
      <c r="K10" s="29"/>
      <c r="L10" s="29"/>
      <c r="M10" s="170"/>
      <c r="N10" s="171"/>
      <c r="O10" s="167" t="s">
        <v>314</v>
      </c>
      <c r="P10" s="701"/>
      <c r="Q10" s="258"/>
      <c r="R10" s="171"/>
      <c r="S10" s="167" t="s">
        <v>297</v>
      </c>
      <c r="T10" s="754"/>
      <c r="U10" s="191"/>
      <c r="V10" s="171"/>
      <c r="W10" s="167" t="s">
        <v>518</v>
      </c>
      <c r="X10" s="701"/>
      <c r="Y10" s="194"/>
      <c r="Z10" s="195"/>
      <c r="AA10" s="196"/>
      <c r="AB10" s="180" t="s">
        <v>295</v>
      </c>
      <c r="AC10" s="699"/>
      <c r="AD10" s="29"/>
      <c r="AE10" s="29"/>
      <c r="AF10" s="29"/>
      <c r="AG10" s="29"/>
    </row>
  </sheetData>
  <mergeCells count="41">
    <mergeCell ref="AD5:AG5"/>
    <mergeCell ref="L5:L6"/>
    <mergeCell ref="N5:N6"/>
    <mergeCell ref="O5:O6"/>
    <mergeCell ref="A4:D4"/>
    <mergeCell ref="A5:A6"/>
    <mergeCell ref="B5:B6"/>
    <mergeCell ref="C5:C6"/>
    <mergeCell ref="D5:D6"/>
    <mergeCell ref="S5:S6"/>
    <mergeCell ref="H5:H6"/>
    <mergeCell ref="P5:P6"/>
    <mergeCell ref="R5:R6"/>
    <mergeCell ref="A1:B1"/>
    <mergeCell ref="C1:AD1"/>
    <mergeCell ref="AE1:AG2"/>
    <mergeCell ref="A2:B3"/>
    <mergeCell ref="C2:AD3"/>
    <mergeCell ref="AE3:AG3"/>
    <mergeCell ref="AC9:AC10"/>
    <mergeCell ref="K5:K6"/>
    <mergeCell ref="A9:L9"/>
    <mergeCell ref="P9:P10"/>
    <mergeCell ref="T9:T10"/>
    <mergeCell ref="X9:X10"/>
    <mergeCell ref="T5:T6"/>
    <mergeCell ref="V5:V6"/>
    <mergeCell ref="W5:W6"/>
    <mergeCell ref="X5:X6"/>
    <mergeCell ref="Y5:AC5"/>
    <mergeCell ref="J5:J6"/>
    <mergeCell ref="E5:E6"/>
    <mergeCell ref="I5:I6"/>
    <mergeCell ref="F5:F6"/>
    <mergeCell ref="G5:G6"/>
    <mergeCell ref="F7:F8"/>
    <mergeCell ref="A7:A8"/>
    <mergeCell ref="B7:B8"/>
    <mergeCell ref="C7:C8"/>
    <mergeCell ref="D7:D8"/>
    <mergeCell ref="E7:E8"/>
  </mergeCells>
  <conditionalFormatting sqref="AC9 Y7:AC8">
    <cfRule type="cellIs" dxfId="20" priority="4" operator="lessThan">
      <formula>0.6</formula>
    </cfRule>
    <cfRule type="cellIs" dxfId="19" priority="5" operator="between">
      <formula>60%</formula>
      <formula>79%</formula>
    </cfRule>
    <cfRule type="cellIs" dxfId="18" priority="6" operator="between">
      <formula>80%</formula>
      <formula>100%</formula>
    </cfRule>
  </conditionalFormatting>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G9"/>
  <sheetViews>
    <sheetView zoomScale="70" zoomScaleNormal="70" workbookViewId="0">
      <selection activeCell="P4" sqref="P1:Y1048576"/>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140625" customWidth="1"/>
    <col min="7" max="7" width="16.140625" customWidth="1"/>
    <col min="8" max="8" width="25.28515625" customWidth="1"/>
    <col min="9" max="11" width="14.42578125" customWidth="1"/>
    <col min="12" max="12" width="16.7109375" customWidth="1"/>
    <col min="13" max="13" width="25.140625" customWidth="1"/>
    <col min="14" max="14" width="31.85546875" customWidth="1"/>
    <col min="15" max="15" width="28.5703125" customWidth="1"/>
    <col min="16" max="16" width="19.42578125" customWidth="1"/>
    <col min="17" max="17" width="22.7109375" customWidth="1"/>
    <col min="18" max="18" width="33.140625" customWidth="1"/>
    <col min="19" max="19" width="22.42578125" customWidth="1"/>
    <col min="20" max="21" width="19.42578125" customWidth="1"/>
    <col min="22" max="22" width="33.140625" customWidth="1"/>
    <col min="23" max="24" width="22.42578125" customWidth="1"/>
    <col min="25" max="29" width="17.7109375" customWidth="1"/>
    <col min="30" max="33" width="26.5703125" customWidth="1"/>
  </cols>
  <sheetData>
    <row r="1" spans="1:33"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772</v>
      </c>
      <c r="AF3" s="613"/>
      <c r="AG3" s="613"/>
    </row>
    <row r="4" spans="1:33" ht="15.75" thickBot="1" x14ac:dyDescent="0.3">
      <c r="A4" s="627" t="s">
        <v>193</v>
      </c>
      <c r="B4" s="627"/>
      <c r="C4" s="627"/>
      <c r="D4" s="627"/>
      <c r="E4" s="29"/>
      <c r="F4" s="38"/>
      <c r="G4" s="29"/>
      <c r="H4" s="29"/>
      <c r="I4" s="29"/>
      <c r="J4" s="29"/>
      <c r="K4" s="29"/>
      <c r="L4" s="29"/>
      <c r="M4" s="56"/>
      <c r="N4" s="29"/>
      <c r="O4" s="29"/>
      <c r="P4" s="29"/>
      <c r="Q4" s="56"/>
      <c r="R4" s="29"/>
      <c r="S4" s="29"/>
      <c r="T4" s="29"/>
      <c r="U4" s="56"/>
      <c r="V4" s="29"/>
      <c r="W4" s="29"/>
      <c r="X4" s="29"/>
      <c r="Y4" s="29"/>
      <c r="Z4" s="29"/>
      <c r="AA4" s="29"/>
      <c r="AB4" s="29"/>
      <c r="AC4" s="29"/>
      <c r="AD4" s="29"/>
      <c r="AE4" s="29"/>
      <c r="AF4" s="29"/>
      <c r="AG4" s="29"/>
    </row>
    <row r="5" spans="1:33" ht="57" customHeight="1" x14ac:dyDescent="0.25">
      <c r="A5" s="606" t="s">
        <v>1</v>
      </c>
      <c r="B5" s="594" t="s">
        <v>3</v>
      </c>
      <c r="C5" s="594" t="s">
        <v>194</v>
      </c>
      <c r="D5" s="594" t="s">
        <v>195</v>
      </c>
      <c r="E5" s="594" t="s">
        <v>196</v>
      </c>
      <c r="F5" s="642" t="s">
        <v>742</v>
      </c>
      <c r="G5" s="594" t="s">
        <v>228</v>
      </c>
      <c r="H5" s="594" t="s">
        <v>227</v>
      </c>
      <c r="I5" s="594" t="s">
        <v>8</v>
      </c>
      <c r="J5" s="594" t="s">
        <v>495</v>
      </c>
      <c r="K5" s="594" t="s">
        <v>519</v>
      </c>
      <c r="L5" s="640" t="s">
        <v>9</v>
      </c>
      <c r="M5" s="162" t="s">
        <v>326</v>
      </c>
      <c r="N5" s="676" t="s">
        <v>421</v>
      </c>
      <c r="O5" s="610" t="s">
        <v>423</v>
      </c>
      <c r="P5" s="608" t="s">
        <v>488</v>
      </c>
      <c r="Q5" s="162" t="s">
        <v>326</v>
      </c>
      <c r="R5" s="676" t="s">
        <v>421</v>
      </c>
      <c r="S5" s="610" t="s">
        <v>423</v>
      </c>
      <c r="T5" s="608" t="s">
        <v>489</v>
      </c>
      <c r="U5" s="162" t="s">
        <v>326</v>
      </c>
      <c r="V5" s="676" t="s">
        <v>421</v>
      </c>
      <c r="W5" s="610" t="s">
        <v>423</v>
      </c>
      <c r="X5" s="608" t="s">
        <v>490</v>
      </c>
      <c r="Y5" s="652" t="s">
        <v>11</v>
      </c>
      <c r="Z5" s="653"/>
      <c r="AA5" s="653"/>
      <c r="AB5" s="653"/>
      <c r="AC5" s="654"/>
      <c r="AD5" s="624" t="s">
        <v>557</v>
      </c>
      <c r="AE5" s="625"/>
      <c r="AF5" s="625"/>
      <c r="AG5" s="626"/>
    </row>
    <row r="6" spans="1:33" ht="57" customHeight="1" x14ac:dyDescent="0.25">
      <c r="A6" s="607"/>
      <c r="B6" s="535"/>
      <c r="C6" s="535"/>
      <c r="D6" s="535"/>
      <c r="E6" s="535"/>
      <c r="F6" s="643"/>
      <c r="G6" s="535"/>
      <c r="H6" s="535"/>
      <c r="I6" s="535"/>
      <c r="J6" s="535"/>
      <c r="K6" s="535"/>
      <c r="L6" s="641"/>
      <c r="M6" s="163" t="s">
        <v>299</v>
      </c>
      <c r="N6" s="677"/>
      <c r="O6" s="611"/>
      <c r="P6" s="609"/>
      <c r="Q6" s="163" t="s">
        <v>288</v>
      </c>
      <c r="R6" s="677"/>
      <c r="S6" s="611"/>
      <c r="T6" s="609"/>
      <c r="U6" s="163" t="s">
        <v>313</v>
      </c>
      <c r="V6" s="677"/>
      <c r="W6" s="611"/>
      <c r="X6" s="609"/>
      <c r="Y6" s="176" t="s">
        <v>198</v>
      </c>
      <c r="Z6" s="5" t="s">
        <v>199</v>
      </c>
      <c r="AA6" s="5" t="s">
        <v>200</v>
      </c>
      <c r="AB6" s="5" t="s">
        <v>201</v>
      </c>
      <c r="AC6" s="177" t="s">
        <v>20</v>
      </c>
      <c r="AD6" s="181" t="s">
        <v>202</v>
      </c>
      <c r="AE6" s="33" t="s">
        <v>203</v>
      </c>
      <c r="AF6" s="33" t="s">
        <v>204</v>
      </c>
      <c r="AG6" s="182" t="s">
        <v>205</v>
      </c>
    </row>
    <row r="7" spans="1:33" ht="141" customHeight="1" x14ac:dyDescent="0.25">
      <c r="A7" s="518" t="s">
        <v>219</v>
      </c>
      <c r="B7" s="517" t="s">
        <v>322</v>
      </c>
      <c r="C7" s="516" t="s">
        <v>323</v>
      </c>
      <c r="D7" s="516" t="s">
        <v>161</v>
      </c>
      <c r="E7" s="318" t="s">
        <v>841</v>
      </c>
      <c r="F7" s="319" t="s">
        <v>842</v>
      </c>
      <c r="G7" s="76" t="s">
        <v>843</v>
      </c>
      <c r="H7" s="76" t="s">
        <v>504</v>
      </c>
      <c r="I7" s="74">
        <v>0.9</v>
      </c>
      <c r="J7" s="74" t="s">
        <v>496</v>
      </c>
      <c r="K7" s="146" t="s">
        <v>467</v>
      </c>
      <c r="L7" s="322" t="s">
        <v>810</v>
      </c>
      <c r="M7" s="164"/>
      <c r="N7" s="55"/>
      <c r="O7" s="55"/>
      <c r="P7" s="165">
        <f>+M7</f>
        <v>0</v>
      </c>
      <c r="Q7" s="164"/>
      <c r="R7" s="55"/>
      <c r="S7" s="55"/>
      <c r="T7" s="165">
        <f>+Q7</f>
        <v>0</v>
      </c>
      <c r="U7" s="164"/>
      <c r="V7" s="280"/>
      <c r="W7" s="55"/>
      <c r="X7" s="165">
        <f>+U7</f>
        <v>0</v>
      </c>
      <c r="Y7" s="178" t="s">
        <v>226</v>
      </c>
      <c r="Z7" s="26">
        <f>IFERROR((P7*100%)/$I$7,"-")</f>
        <v>0</v>
      </c>
      <c r="AA7" s="26">
        <f>IFERROR((T7*100%)/$I$7,"-")</f>
        <v>0</v>
      </c>
      <c r="AB7" s="26">
        <f>IFERROR((X7*100%)/$I$7,"-")</f>
        <v>0</v>
      </c>
      <c r="AC7" s="179">
        <f>IFERROR(AVERAGE(Y7:AB7),"-")</f>
        <v>0</v>
      </c>
      <c r="AD7" s="183"/>
      <c r="AE7" s="35"/>
      <c r="AF7" s="36"/>
      <c r="AG7" s="184"/>
    </row>
    <row r="8" spans="1:33" ht="27" customHeight="1" thickBot="1" x14ac:dyDescent="0.3">
      <c r="A8" s="596" t="s">
        <v>294</v>
      </c>
      <c r="B8" s="597"/>
      <c r="C8" s="597"/>
      <c r="D8" s="597"/>
      <c r="E8" s="597"/>
      <c r="F8" s="597"/>
      <c r="G8" s="597"/>
      <c r="H8" s="597"/>
      <c r="I8" s="597"/>
      <c r="J8" s="598"/>
      <c r="K8" s="598"/>
      <c r="L8" s="599"/>
      <c r="M8" s="192" t="str">
        <f>IFERROR(AVERAGE(M7:M7),"-")</f>
        <v>-</v>
      </c>
      <c r="N8" s="169"/>
      <c r="O8" s="130"/>
      <c r="P8" s="616">
        <f>IFERROR(AVERAGE(P7:P7),"-")</f>
        <v>0</v>
      </c>
      <c r="Q8" s="373" t="str">
        <f>IFERROR(AVERAGE(Q7:Q7),"-")</f>
        <v>-</v>
      </c>
      <c r="R8" s="169"/>
      <c r="S8" s="130"/>
      <c r="T8" s="616">
        <f>IFERROR(AVERAGE(T7:T7),"-")</f>
        <v>0</v>
      </c>
      <c r="U8" s="373" t="str">
        <f>IFERROR(AVERAGE(U7:U7),"-")</f>
        <v>-</v>
      </c>
      <c r="V8" s="169"/>
      <c r="W8" s="130"/>
      <c r="X8" s="616">
        <f t="shared" ref="X8:AC8" si="0">IFERROR(AVERAGE(X7:X7),"-")</f>
        <v>0</v>
      </c>
      <c r="Y8" s="192" t="str">
        <f t="shared" si="0"/>
        <v>-</v>
      </c>
      <c r="Z8" s="374">
        <f t="shared" si="0"/>
        <v>0</v>
      </c>
      <c r="AA8" s="374">
        <f t="shared" si="0"/>
        <v>0</v>
      </c>
      <c r="AB8" s="374">
        <f t="shared" si="0"/>
        <v>0</v>
      </c>
      <c r="AC8" s="698">
        <f t="shared" si="0"/>
        <v>0</v>
      </c>
      <c r="AD8" s="187"/>
      <c r="AE8" s="188"/>
      <c r="AF8" s="189"/>
      <c r="AG8" s="190"/>
    </row>
    <row r="9" spans="1:33" ht="27" thickBot="1" x14ac:dyDescent="0.3">
      <c r="A9" s="29"/>
      <c r="B9" s="29"/>
      <c r="C9" s="29"/>
      <c r="D9" s="29"/>
      <c r="E9" s="29"/>
      <c r="F9" s="38"/>
      <c r="G9" s="29"/>
      <c r="H9" s="29"/>
      <c r="I9" s="29"/>
      <c r="J9" s="29"/>
      <c r="K9" s="29"/>
      <c r="L9" s="29"/>
      <c r="M9" s="170"/>
      <c r="N9" s="171"/>
      <c r="O9" s="167" t="s">
        <v>487</v>
      </c>
      <c r="P9" s="617"/>
      <c r="Q9" s="191"/>
      <c r="R9" s="171"/>
      <c r="S9" s="167" t="s">
        <v>297</v>
      </c>
      <c r="T9" s="617"/>
      <c r="U9" s="191"/>
      <c r="V9" s="171"/>
      <c r="W9" s="167" t="s">
        <v>298</v>
      </c>
      <c r="X9" s="617"/>
      <c r="Y9" s="194"/>
      <c r="Z9" s="195"/>
      <c r="AA9" s="196"/>
      <c r="AB9" s="180" t="s">
        <v>295</v>
      </c>
      <c r="AC9" s="699"/>
      <c r="AD9" s="29"/>
      <c r="AE9" s="29"/>
      <c r="AF9" s="29"/>
      <c r="AG9" s="29"/>
    </row>
  </sheetData>
  <mergeCells count="35">
    <mergeCell ref="A1:B1"/>
    <mergeCell ref="C1:AD1"/>
    <mergeCell ref="AE1:AG2"/>
    <mergeCell ref="A2:B3"/>
    <mergeCell ref="C2:AD3"/>
    <mergeCell ref="AE3:AG3"/>
    <mergeCell ref="Y5:AC5"/>
    <mergeCell ref="AD5:AG5"/>
    <mergeCell ref="W5:W6"/>
    <mergeCell ref="L5:L6"/>
    <mergeCell ref="A4:D4"/>
    <mergeCell ref="A5:A6"/>
    <mergeCell ref="B5:B6"/>
    <mergeCell ref="C5:C6"/>
    <mergeCell ref="D5:D6"/>
    <mergeCell ref="E5:E6"/>
    <mergeCell ref="F5:F6"/>
    <mergeCell ref="G5:G6"/>
    <mergeCell ref="H5:H6"/>
    <mergeCell ref="I5:I6"/>
    <mergeCell ref="J5:J6"/>
    <mergeCell ref="K5:K6"/>
    <mergeCell ref="AC8:AC9"/>
    <mergeCell ref="A8:L8"/>
    <mergeCell ref="P8:P9"/>
    <mergeCell ref="T8:T9"/>
    <mergeCell ref="X8:X9"/>
    <mergeCell ref="X5:X6"/>
    <mergeCell ref="P5:P6"/>
    <mergeCell ref="T5:T6"/>
    <mergeCell ref="N5:N6"/>
    <mergeCell ref="O5:O6"/>
    <mergeCell ref="R5:R6"/>
    <mergeCell ref="S5:S6"/>
    <mergeCell ref="V5:V6"/>
  </mergeCells>
  <conditionalFormatting sqref="AC8 Y7:AC7">
    <cfRule type="cellIs" dxfId="17" priority="1" operator="lessThan">
      <formula>0.6</formula>
    </cfRule>
    <cfRule type="cellIs" dxfId="16" priority="2" operator="between">
      <formula>60%</formula>
      <formula>79%</formula>
    </cfRule>
    <cfRule type="cellIs" dxfId="15" priority="3" operator="between">
      <formula>80%</formula>
      <formula>100%</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G9"/>
  <sheetViews>
    <sheetView zoomScale="70" zoomScaleNormal="70" workbookViewId="0">
      <selection activeCell="G7" sqref="G7:L7"/>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140625" customWidth="1"/>
    <col min="7" max="7" width="16.140625" customWidth="1"/>
    <col min="8" max="8" width="25.28515625" customWidth="1"/>
    <col min="9" max="11" width="14.42578125" customWidth="1"/>
    <col min="12" max="12" width="16.7109375" customWidth="1"/>
    <col min="13" max="13" width="19.42578125" customWidth="1"/>
    <col min="14" max="14" width="51.5703125" customWidth="1"/>
    <col min="15" max="15" width="40.42578125" customWidth="1"/>
    <col min="16" max="16" width="19.42578125" customWidth="1"/>
    <col min="17" max="17" width="19.42578125" hidden="1" customWidth="1"/>
    <col min="18" max="18" width="51.5703125" hidden="1" customWidth="1"/>
    <col min="19" max="19" width="22.42578125" hidden="1" customWidth="1"/>
    <col min="20" max="21" width="19.42578125" hidden="1" customWidth="1"/>
    <col min="22" max="22" width="51.5703125" hidden="1" customWidth="1"/>
    <col min="23" max="23" width="22.42578125" hidden="1" customWidth="1"/>
    <col min="24" max="24" width="19.42578125" hidden="1" customWidth="1"/>
    <col min="25" max="29" width="17.7109375" customWidth="1"/>
    <col min="30" max="33" width="26.5703125" customWidth="1"/>
  </cols>
  <sheetData>
    <row r="1" spans="1:33"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5">
      <c r="A2" s="593" t="s">
        <v>628</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629</v>
      </c>
      <c r="AF3" s="613"/>
      <c r="AG3" s="613"/>
    </row>
    <row r="4" spans="1:33" ht="15.75" thickBot="1" x14ac:dyDescent="0.3">
      <c r="A4" s="627" t="s">
        <v>193</v>
      </c>
      <c r="B4" s="627"/>
      <c r="C4" s="627"/>
      <c r="D4" s="627"/>
      <c r="E4" s="29"/>
      <c r="F4" s="38"/>
      <c r="G4" s="29"/>
      <c r="H4" s="29"/>
      <c r="I4" s="29"/>
      <c r="J4" s="29"/>
      <c r="K4" s="29"/>
      <c r="L4" s="29"/>
      <c r="M4" s="56"/>
      <c r="N4" s="29"/>
      <c r="O4" s="29"/>
      <c r="P4" s="29"/>
      <c r="Q4" s="56"/>
      <c r="R4" s="29"/>
      <c r="S4" s="29"/>
      <c r="T4" s="29"/>
      <c r="U4" s="56"/>
      <c r="V4" s="29"/>
      <c r="W4" s="29"/>
      <c r="X4" s="29"/>
      <c r="Y4" s="29"/>
      <c r="Z4" s="29"/>
      <c r="AA4" s="29"/>
      <c r="AB4" s="29"/>
      <c r="AC4" s="29"/>
      <c r="AD4" s="29"/>
      <c r="AE4" s="29"/>
      <c r="AF4" s="29"/>
      <c r="AG4" s="29"/>
    </row>
    <row r="5" spans="1:33" ht="57" customHeight="1" x14ac:dyDescent="0.25">
      <c r="A5" s="534" t="s">
        <v>1</v>
      </c>
      <c r="B5" s="534" t="s">
        <v>3</v>
      </c>
      <c r="C5" s="534" t="s">
        <v>194</v>
      </c>
      <c r="D5" s="534" t="s">
        <v>195</v>
      </c>
      <c r="E5" s="534" t="s">
        <v>196</v>
      </c>
      <c r="F5" s="739" t="s">
        <v>231</v>
      </c>
      <c r="G5" s="534" t="s">
        <v>228</v>
      </c>
      <c r="H5" s="534" t="s">
        <v>227</v>
      </c>
      <c r="I5" s="534" t="s">
        <v>8</v>
      </c>
      <c r="J5" s="534" t="s">
        <v>495</v>
      </c>
      <c r="K5" s="534" t="s">
        <v>519</v>
      </c>
      <c r="L5" s="736" t="s">
        <v>9</v>
      </c>
      <c r="M5" s="162" t="s">
        <v>326</v>
      </c>
      <c r="N5" s="676" t="s">
        <v>421</v>
      </c>
      <c r="O5" s="610" t="s">
        <v>423</v>
      </c>
      <c r="P5" s="608" t="s">
        <v>488</v>
      </c>
      <c r="Q5" s="162" t="s">
        <v>326</v>
      </c>
      <c r="R5" s="676" t="s">
        <v>421</v>
      </c>
      <c r="S5" s="610" t="s">
        <v>423</v>
      </c>
      <c r="T5" s="608" t="s">
        <v>488</v>
      </c>
      <c r="U5" s="162" t="s">
        <v>326</v>
      </c>
      <c r="V5" s="676" t="s">
        <v>421</v>
      </c>
      <c r="W5" s="610" t="s">
        <v>423</v>
      </c>
      <c r="X5" s="608" t="s">
        <v>317</v>
      </c>
      <c r="Y5" s="652" t="s">
        <v>11</v>
      </c>
      <c r="Z5" s="653"/>
      <c r="AA5" s="653"/>
      <c r="AB5" s="653"/>
      <c r="AC5" s="654"/>
      <c r="AD5" s="661" t="s">
        <v>197</v>
      </c>
      <c r="AE5" s="661"/>
      <c r="AF5" s="661"/>
      <c r="AG5" s="662"/>
    </row>
    <row r="6" spans="1:33" ht="57" customHeight="1" x14ac:dyDescent="0.25">
      <c r="A6" s="535"/>
      <c r="B6" s="535"/>
      <c r="C6" s="535"/>
      <c r="D6" s="535"/>
      <c r="E6" s="535"/>
      <c r="F6" s="643"/>
      <c r="G6" s="535"/>
      <c r="H6" s="535"/>
      <c r="I6" s="535"/>
      <c r="J6" s="535"/>
      <c r="K6" s="535"/>
      <c r="L6" s="718"/>
      <c r="M6" s="163" t="s">
        <v>299</v>
      </c>
      <c r="N6" s="677"/>
      <c r="O6" s="611"/>
      <c r="P6" s="609"/>
      <c r="Q6" s="163" t="s">
        <v>288</v>
      </c>
      <c r="R6" s="677"/>
      <c r="S6" s="611"/>
      <c r="T6" s="609"/>
      <c r="U6" s="163" t="s">
        <v>313</v>
      </c>
      <c r="V6" s="677"/>
      <c r="W6" s="611"/>
      <c r="X6" s="609"/>
      <c r="Y6" s="176" t="s">
        <v>198</v>
      </c>
      <c r="Z6" s="5" t="s">
        <v>199</v>
      </c>
      <c r="AA6" s="5" t="s">
        <v>200</v>
      </c>
      <c r="AB6" s="5" t="s">
        <v>201</v>
      </c>
      <c r="AC6" s="177" t="s">
        <v>20</v>
      </c>
      <c r="AD6" s="173" t="s">
        <v>202</v>
      </c>
      <c r="AE6" s="33" t="s">
        <v>203</v>
      </c>
      <c r="AF6" s="33" t="s">
        <v>204</v>
      </c>
      <c r="AG6" s="33" t="s">
        <v>205</v>
      </c>
    </row>
    <row r="7" spans="1:33" ht="121.5" customHeight="1" x14ac:dyDescent="0.25">
      <c r="A7" s="327" t="s">
        <v>219</v>
      </c>
      <c r="B7" s="321" t="s">
        <v>322</v>
      </c>
      <c r="C7" s="318" t="s">
        <v>323</v>
      </c>
      <c r="D7" s="318" t="s">
        <v>161</v>
      </c>
      <c r="E7" s="318" t="s">
        <v>330</v>
      </c>
      <c r="F7" s="319" t="s">
        <v>331</v>
      </c>
      <c r="G7" s="76" t="s">
        <v>479</v>
      </c>
      <c r="H7" s="76" t="s">
        <v>476</v>
      </c>
      <c r="I7" s="74">
        <v>1</v>
      </c>
      <c r="J7" s="74" t="s">
        <v>496</v>
      </c>
      <c r="K7" s="146" t="s">
        <v>467</v>
      </c>
      <c r="L7" s="326" t="s">
        <v>498</v>
      </c>
      <c r="M7" s="164">
        <v>0</v>
      </c>
      <c r="N7" s="55" t="s">
        <v>699</v>
      </c>
      <c r="O7" s="55"/>
      <c r="P7" s="165">
        <f>+IFERROR(AVERAGE(M7:O7),"-")</f>
        <v>0</v>
      </c>
      <c r="Q7" s="164" t="s">
        <v>226</v>
      </c>
      <c r="R7" s="55"/>
      <c r="S7" s="55"/>
      <c r="T7" s="165" t="str">
        <f>+IFERROR(AVERAGE(Q7:S7),"-")</f>
        <v>-</v>
      </c>
      <c r="U7" s="172"/>
      <c r="V7" s="55"/>
      <c r="W7" s="55"/>
      <c r="X7" s="197" t="str">
        <f>+IFERROR(AVERAGE(U7:W7),"-")</f>
        <v>-</v>
      </c>
      <c r="Y7" s="178" t="s">
        <v>226</v>
      </c>
      <c r="Z7" s="26">
        <f>IFERROR((P7*100%)/$I$7,"-")</f>
        <v>0</v>
      </c>
      <c r="AA7" s="26" t="str">
        <f>IFERROR((T7*100%)/$I$7,"-")</f>
        <v>-</v>
      </c>
      <c r="AB7" s="26" t="str">
        <f>IFERROR((X7*100%)/$I$7,"-")</f>
        <v>-</v>
      </c>
      <c r="AC7" s="179">
        <f>IFERROR(AVERAGE(Y7:AB7),"-")</f>
        <v>0</v>
      </c>
      <c r="AD7" s="174"/>
      <c r="AE7" s="35"/>
      <c r="AF7" s="36"/>
      <c r="AG7" s="36"/>
    </row>
    <row r="8" spans="1:33" ht="27" customHeight="1" thickBot="1" x14ac:dyDescent="0.3">
      <c r="A8" s="740" t="s">
        <v>294</v>
      </c>
      <c r="B8" s="740"/>
      <c r="C8" s="740"/>
      <c r="D8" s="740"/>
      <c r="E8" s="740"/>
      <c r="F8" s="740"/>
      <c r="G8" s="740"/>
      <c r="H8" s="740"/>
      <c r="I8" s="740"/>
      <c r="J8" s="741"/>
      <c r="K8" s="741"/>
      <c r="L8" s="741"/>
      <c r="M8" s="168">
        <f>IFERROR(AVERAGE(M7:M7),"-")</f>
        <v>0</v>
      </c>
      <c r="N8" s="169"/>
      <c r="O8" s="130"/>
      <c r="P8" s="757">
        <f>IFERROR(AVERAGE(P7:P7),"-")</f>
        <v>0</v>
      </c>
      <c r="Q8" s="168" t="str">
        <f>IFERROR(AVERAGE(Q7:Q7),"-")</f>
        <v>-</v>
      </c>
      <c r="R8" s="169"/>
      <c r="S8" s="130"/>
      <c r="T8" s="757" t="str">
        <f>IFERROR(AVERAGE(T7:T7),"-")</f>
        <v>-</v>
      </c>
      <c r="U8" s="168" t="str">
        <f>IFERROR(AVERAGE(U7:U7),"-")</f>
        <v>-</v>
      </c>
      <c r="V8" s="169"/>
      <c r="W8" s="130"/>
      <c r="X8" s="757" t="str">
        <f t="shared" ref="X8:AC8" si="0">IFERROR(AVERAGE(X7:X7),"-")</f>
        <v>-</v>
      </c>
      <c r="Y8" s="192" t="str">
        <f t="shared" si="0"/>
        <v>-</v>
      </c>
      <c r="Z8" s="193">
        <f t="shared" si="0"/>
        <v>0</v>
      </c>
      <c r="AA8" s="193" t="str">
        <f t="shared" si="0"/>
        <v>-</v>
      </c>
      <c r="AB8" s="59" t="str">
        <f t="shared" si="0"/>
        <v>-</v>
      </c>
      <c r="AC8" s="698">
        <f t="shared" si="0"/>
        <v>0</v>
      </c>
      <c r="AD8" s="175"/>
      <c r="AE8" s="32"/>
      <c r="AF8" s="28"/>
      <c r="AG8" s="31"/>
    </row>
    <row r="9" spans="1:33" ht="27" thickBot="1" x14ac:dyDescent="0.3">
      <c r="A9" s="29"/>
      <c r="B9" s="29"/>
      <c r="C9" s="29"/>
      <c r="D9" s="29"/>
      <c r="E9" s="29"/>
      <c r="F9" s="38"/>
      <c r="G9" s="29"/>
      <c r="H9" s="29"/>
      <c r="I9" s="29"/>
      <c r="J9" s="29"/>
      <c r="K9" s="29"/>
      <c r="L9" s="29"/>
      <c r="M9" s="170"/>
      <c r="N9" s="171"/>
      <c r="O9" s="167" t="s">
        <v>487</v>
      </c>
      <c r="P9" s="758"/>
      <c r="Q9" s="191"/>
      <c r="R9" s="171"/>
      <c r="S9" s="166" t="s">
        <v>297</v>
      </c>
      <c r="T9" s="758"/>
      <c r="U9" s="191"/>
      <c r="V9" s="171"/>
      <c r="W9" s="166" t="s">
        <v>298</v>
      </c>
      <c r="X9" s="758"/>
      <c r="Y9" s="194"/>
      <c r="Z9" s="195"/>
      <c r="AA9" s="196"/>
      <c r="AB9" s="180" t="s">
        <v>295</v>
      </c>
      <c r="AC9" s="699"/>
      <c r="AD9" s="29"/>
      <c r="AE9" s="29"/>
      <c r="AF9" s="29"/>
      <c r="AG9" s="29"/>
    </row>
  </sheetData>
  <mergeCells count="35">
    <mergeCell ref="G5:G6"/>
    <mergeCell ref="H5:H6"/>
    <mergeCell ref="A1:B1"/>
    <mergeCell ref="C1:AD1"/>
    <mergeCell ref="P5:P6"/>
    <mergeCell ref="T5:T6"/>
    <mergeCell ref="I5:I6"/>
    <mergeCell ref="J5:J6"/>
    <mergeCell ref="A4:D4"/>
    <mergeCell ref="A5:A6"/>
    <mergeCell ref="B5:B6"/>
    <mergeCell ref="E5:E6"/>
    <mergeCell ref="F5:F6"/>
    <mergeCell ref="K5:K6"/>
    <mergeCell ref="AE1:AG2"/>
    <mergeCell ref="A2:B3"/>
    <mergeCell ref="C2:AD3"/>
    <mergeCell ref="AE3:AG3"/>
    <mergeCell ref="C5:C6"/>
    <mergeCell ref="D5:D6"/>
    <mergeCell ref="X5:X6"/>
    <mergeCell ref="Y5:AC5"/>
    <mergeCell ref="AD5:AG5"/>
    <mergeCell ref="W5:W6"/>
    <mergeCell ref="L5:L6"/>
    <mergeCell ref="N5:N6"/>
    <mergeCell ref="O5:O6"/>
    <mergeCell ref="R5:R6"/>
    <mergeCell ref="S5:S6"/>
    <mergeCell ref="V5:V6"/>
    <mergeCell ref="X8:X9"/>
    <mergeCell ref="AC8:AC9"/>
    <mergeCell ref="A8:L8"/>
    <mergeCell ref="P8:P9"/>
    <mergeCell ref="T8:T9"/>
  </mergeCells>
  <conditionalFormatting sqref="AC8 Y7:AC7">
    <cfRule type="cellIs" dxfId="14" priority="1" operator="lessThan">
      <formula>0.6</formula>
    </cfRule>
    <cfRule type="cellIs" dxfId="13" priority="2" operator="between">
      <formula>60%</formula>
      <formula>79%</formula>
    </cfRule>
    <cfRule type="cellIs" dxfId="12" priority="3" operator="between">
      <formula>80%</formula>
      <formula>100%</formula>
    </cfRule>
  </conditionalFormatting>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G23"/>
  <sheetViews>
    <sheetView zoomScale="70" zoomScaleNormal="70" workbookViewId="0">
      <selection activeCell="M12" sqref="M12"/>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7" max="7" width="25.5703125" customWidth="1"/>
    <col min="8" max="8" width="25.28515625" customWidth="1"/>
    <col min="9" max="11" width="14.42578125" customWidth="1"/>
    <col min="12" max="12" width="13.7109375" customWidth="1"/>
    <col min="13" max="13" width="19.85546875" customWidth="1"/>
    <col min="14" max="14" width="45.5703125" customWidth="1"/>
    <col min="15" max="15" width="37.140625" customWidth="1"/>
    <col min="16" max="16" width="25" customWidth="1"/>
    <col min="17" max="17" width="19.42578125" customWidth="1"/>
    <col min="18" max="18" width="31.7109375" customWidth="1"/>
    <col min="19" max="19" width="42.140625" customWidth="1"/>
    <col min="20" max="20" width="25" customWidth="1"/>
    <col min="21" max="21" width="19.42578125" customWidth="1"/>
    <col min="22" max="22" width="36" customWidth="1"/>
    <col min="23" max="24" width="25" customWidth="1"/>
    <col min="25" max="29" width="17.7109375" customWidth="1"/>
    <col min="30" max="33" width="26.5703125" customWidth="1"/>
  </cols>
  <sheetData>
    <row r="1" spans="1:33"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5">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772</v>
      </c>
      <c r="AF3" s="613"/>
      <c r="AG3" s="613"/>
    </row>
    <row r="4" spans="1:33" ht="15.75" thickBot="1" x14ac:dyDescent="0.3">
      <c r="A4" s="627" t="s">
        <v>193</v>
      </c>
      <c r="B4" s="627"/>
      <c r="C4" s="627"/>
      <c r="D4" s="627"/>
      <c r="E4" s="29"/>
      <c r="F4" s="38"/>
      <c r="G4" s="29"/>
      <c r="H4" s="29"/>
      <c r="I4" s="29"/>
      <c r="J4" s="29"/>
      <c r="K4" s="29"/>
      <c r="L4" s="29"/>
      <c r="M4" s="29"/>
      <c r="N4" s="29"/>
      <c r="O4" s="29"/>
      <c r="P4" s="29"/>
      <c r="Q4" s="56"/>
      <c r="R4" s="29"/>
      <c r="S4" s="29"/>
      <c r="T4" s="29"/>
      <c r="U4" s="56"/>
      <c r="V4" s="29"/>
      <c r="W4" s="29"/>
      <c r="X4" s="29"/>
      <c r="Y4" s="29"/>
      <c r="Z4" s="29"/>
      <c r="AA4" s="29"/>
      <c r="AB4" s="29"/>
      <c r="AC4" s="29"/>
      <c r="AD4" s="29"/>
      <c r="AE4" s="29"/>
      <c r="AF4" s="29"/>
      <c r="AG4" s="29"/>
    </row>
    <row r="5" spans="1:33" ht="74.25" customHeight="1" x14ac:dyDescent="0.25">
      <c r="A5" s="606" t="s">
        <v>1</v>
      </c>
      <c r="B5" s="594" t="s">
        <v>3</v>
      </c>
      <c r="C5" s="594" t="s">
        <v>194</v>
      </c>
      <c r="D5" s="594" t="s">
        <v>195</v>
      </c>
      <c r="E5" s="594" t="s">
        <v>196</v>
      </c>
      <c r="F5" s="642" t="s">
        <v>742</v>
      </c>
      <c r="G5" s="594" t="s">
        <v>228</v>
      </c>
      <c r="H5" s="594" t="s">
        <v>227</v>
      </c>
      <c r="I5" s="594" t="s">
        <v>8</v>
      </c>
      <c r="J5" s="594" t="s">
        <v>495</v>
      </c>
      <c r="K5" s="594" t="s">
        <v>519</v>
      </c>
      <c r="L5" s="640" t="s">
        <v>9</v>
      </c>
      <c r="M5" s="206" t="s">
        <v>424</v>
      </c>
      <c r="N5" s="676" t="s">
        <v>421</v>
      </c>
      <c r="O5" s="610" t="s">
        <v>423</v>
      </c>
      <c r="P5" s="608" t="s">
        <v>488</v>
      </c>
      <c r="Q5" s="206" t="s">
        <v>424</v>
      </c>
      <c r="R5" s="676" t="s">
        <v>421</v>
      </c>
      <c r="S5" s="610" t="s">
        <v>423</v>
      </c>
      <c r="T5" s="608" t="s">
        <v>491</v>
      </c>
      <c r="U5" s="206" t="s">
        <v>424</v>
      </c>
      <c r="V5" s="676" t="s">
        <v>421</v>
      </c>
      <c r="W5" s="610" t="s">
        <v>423</v>
      </c>
      <c r="X5" s="608" t="s">
        <v>493</v>
      </c>
      <c r="Y5" s="652" t="s">
        <v>11</v>
      </c>
      <c r="Z5" s="653"/>
      <c r="AA5" s="653"/>
      <c r="AB5" s="653"/>
      <c r="AC5" s="654"/>
      <c r="AD5" s="624" t="s">
        <v>557</v>
      </c>
      <c r="AE5" s="625"/>
      <c r="AF5" s="625"/>
      <c r="AG5" s="626"/>
    </row>
    <row r="6" spans="1:33" ht="57" customHeight="1" x14ac:dyDescent="0.25">
      <c r="A6" s="607"/>
      <c r="B6" s="535"/>
      <c r="C6" s="535"/>
      <c r="D6" s="535"/>
      <c r="E6" s="535"/>
      <c r="F6" s="643"/>
      <c r="G6" s="535"/>
      <c r="H6" s="535"/>
      <c r="I6" s="535"/>
      <c r="J6" s="535"/>
      <c r="K6" s="535"/>
      <c r="L6" s="641"/>
      <c r="M6" s="163" t="s">
        <v>299</v>
      </c>
      <c r="N6" s="677"/>
      <c r="O6" s="611"/>
      <c r="P6" s="609"/>
      <c r="Q6" s="163" t="s">
        <v>288</v>
      </c>
      <c r="R6" s="677"/>
      <c r="S6" s="611"/>
      <c r="T6" s="609"/>
      <c r="U6" s="163" t="s">
        <v>313</v>
      </c>
      <c r="V6" s="677"/>
      <c r="W6" s="611"/>
      <c r="X6" s="609"/>
      <c r="Y6" s="176" t="s">
        <v>198</v>
      </c>
      <c r="Z6" s="5" t="s">
        <v>199</v>
      </c>
      <c r="AA6" s="5" t="s">
        <v>200</v>
      </c>
      <c r="AB6" s="5" t="s">
        <v>201</v>
      </c>
      <c r="AC6" s="177" t="s">
        <v>20</v>
      </c>
      <c r="AD6" s="181" t="s">
        <v>202</v>
      </c>
      <c r="AE6" s="33" t="s">
        <v>203</v>
      </c>
      <c r="AF6" s="33" t="s">
        <v>204</v>
      </c>
      <c r="AG6" s="182" t="s">
        <v>205</v>
      </c>
    </row>
    <row r="7" spans="1:33" ht="96" customHeight="1" x14ac:dyDescent="0.25">
      <c r="A7" s="745" t="s">
        <v>167</v>
      </c>
      <c r="B7" s="722" t="s">
        <v>332</v>
      </c>
      <c r="C7" s="722" t="s">
        <v>333</v>
      </c>
      <c r="D7" s="722" t="s">
        <v>334</v>
      </c>
      <c r="E7" s="722" t="s">
        <v>335</v>
      </c>
      <c r="F7" s="764">
        <f>+'PLAN DESARROLLO'!E25</f>
        <v>0.7</v>
      </c>
      <c r="G7" s="222" t="s">
        <v>756</v>
      </c>
      <c r="H7" s="160" t="s">
        <v>755</v>
      </c>
      <c r="I7" s="132">
        <v>0.6</v>
      </c>
      <c r="J7" s="221" t="s">
        <v>499</v>
      </c>
      <c r="K7" s="344" t="s">
        <v>665</v>
      </c>
      <c r="L7" s="761" t="s">
        <v>174</v>
      </c>
      <c r="M7" s="269"/>
      <c r="N7" s="513"/>
      <c r="O7" s="112"/>
      <c r="P7" s="207">
        <f>+M7</f>
        <v>0</v>
      </c>
      <c r="Q7" s="459"/>
      <c r="R7" s="160"/>
      <c r="S7" s="112"/>
      <c r="T7" s="207">
        <f>+Q7</f>
        <v>0</v>
      </c>
      <c r="U7" s="457"/>
      <c r="V7" s="160"/>
      <c r="W7" s="112"/>
      <c r="X7" s="207">
        <f>+U7</f>
        <v>0</v>
      </c>
      <c r="Y7" s="178" t="s">
        <v>226</v>
      </c>
      <c r="Z7" s="26">
        <f>IFERROR(IF(P7&gt;=0.6,1,(P7*100%)/0.6),"-")</f>
        <v>0</v>
      </c>
      <c r="AA7" s="26">
        <f>IFERROR(IF(T7&gt;=0.6,1,(T7*100%)/0.6),"-")</f>
        <v>0</v>
      </c>
      <c r="AB7" s="26">
        <f>IFERROR(IF(X7&gt;=0.6,1,(X7*100%)/0.6),"-")</f>
        <v>0</v>
      </c>
      <c r="AC7" s="179">
        <f>IFERROR(AVERAGE(Y7:AB7),"-")</f>
        <v>0</v>
      </c>
      <c r="AD7" s="183"/>
      <c r="AE7" s="35"/>
      <c r="AF7" s="36"/>
      <c r="AG7" s="184"/>
    </row>
    <row r="8" spans="1:33" ht="96" customHeight="1" x14ac:dyDescent="0.25">
      <c r="A8" s="746"/>
      <c r="B8" s="696"/>
      <c r="C8" s="696"/>
      <c r="D8" s="696"/>
      <c r="E8" s="696"/>
      <c r="F8" s="765"/>
      <c r="G8" s="766" t="s">
        <v>757</v>
      </c>
      <c r="H8" s="160" t="s">
        <v>758</v>
      </c>
      <c r="I8" s="82">
        <v>10</v>
      </c>
      <c r="J8" s="221" t="s">
        <v>497</v>
      </c>
      <c r="K8" s="344" t="s">
        <v>763</v>
      </c>
      <c r="L8" s="716"/>
      <c r="M8" s="82"/>
      <c r="N8" s="513"/>
      <c r="O8" s="112"/>
      <c r="P8" s="82">
        <f>+M8</f>
        <v>0</v>
      </c>
      <c r="Q8" s="459"/>
      <c r="R8" s="160"/>
      <c r="S8" s="112"/>
      <c r="T8" s="207"/>
      <c r="U8" s="457"/>
      <c r="V8" s="160"/>
      <c r="W8" s="112"/>
      <c r="X8" s="207"/>
      <c r="Y8" s="178" t="s">
        <v>226</v>
      </c>
      <c r="Z8" s="26">
        <f>IFERROR(IF(P8&gt;=0.6,1,(P8*100%)/0.6),"-")</f>
        <v>0</v>
      </c>
      <c r="AA8" s="26"/>
      <c r="AB8" s="26"/>
      <c r="AC8" s="179"/>
      <c r="AD8" s="183"/>
      <c r="AE8" s="35"/>
      <c r="AF8" s="36"/>
      <c r="AG8" s="184"/>
    </row>
    <row r="9" spans="1:33" ht="78.75" customHeight="1" x14ac:dyDescent="0.25">
      <c r="A9" s="746"/>
      <c r="B9" s="601"/>
      <c r="C9" s="696"/>
      <c r="D9" s="696"/>
      <c r="E9" s="696"/>
      <c r="F9" s="765"/>
      <c r="G9" s="766"/>
      <c r="H9" s="160" t="s">
        <v>759</v>
      </c>
      <c r="I9" s="132" t="s">
        <v>141</v>
      </c>
      <c r="J9" s="221" t="s">
        <v>499</v>
      </c>
      <c r="K9" s="344" t="s">
        <v>665</v>
      </c>
      <c r="L9" s="716"/>
      <c r="M9" s="514"/>
      <c r="N9" s="513"/>
      <c r="O9" s="112"/>
      <c r="P9" s="207">
        <f>+M9</f>
        <v>0</v>
      </c>
      <c r="Q9" s="164"/>
      <c r="R9" s="160"/>
      <c r="S9" s="112"/>
      <c r="T9" s="207">
        <f t="shared" ref="T9:T12" si="0">+Q9</f>
        <v>0</v>
      </c>
      <c r="U9" s="164"/>
      <c r="V9" s="160"/>
      <c r="W9" s="112"/>
      <c r="X9" s="207">
        <f t="shared" ref="X9:X12" si="1">+U9</f>
        <v>0</v>
      </c>
      <c r="Y9" s="178" t="s">
        <v>226</v>
      </c>
      <c r="Z9" s="26">
        <f>IFERROR(IF(P9&gt;=0.9,1,(P9*100%)/0.9),"-")</f>
        <v>0</v>
      </c>
      <c r="AA9" s="26">
        <f>IFERROR(IF(T9&gt;=0.9,1,(T9*100%)/0.9),"-")</f>
        <v>0</v>
      </c>
      <c r="AB9" s="26">
        <f>IFERROR(IF(X9&gt;=0.9,1,(X9*100%)/0.9),"-")</f>
        <v>0</v>
      </c>
      <c r="AC9" s="179">
        <f>IFERROR(AVERAGE(Y9:AB9),"-")</f>
        <v>0</v>
      </c>
      <c r="AD9" s="185"/>
      <c r="AE9" s="30"/>
      <c r="AF9" s="28"/>
      <c r="AG9" s="186"/>
    </row>
    <row r="10" spans="1:33" ht="116.25" customHeight="1" x14ac:dyDescent="0.25">
      <c r="A10" s="746"/>
      <c r="B10" s="601"/>
      <c r="C10" s="696"/>
      <c r="D10" s="696"/>
      <c r="E10" s="696"/>
      <c r="F10" s="437">
        <f>+'PLAN DESARROLLO'!E26</f>
        <v>0.5</v>
      </c>
      <c r="G10" s="160" t="s">
        <v>761</v>
      </c>
      <c r="H10" s="160" t="s">
        <v>760</v>
      </c>
      <c r="I10" s="82">
        <v>8</v>
      </c>
      <c r="J10" s="221" t="s">
        <v>497</v>
      </c>
      <c r="K10" s="344" t="s">
        <v>708</v>
      </c>
      <c r="L10" s="716"/>
      <c r="M10" s="514"/>
      <c r="N10" s="513"/>
      <c r="O10" s="112"/>
      <c r="P10" s="207">
        <f t="shared" ref="P10:P12" si="2">+M10</f>
        <v>0</v>
      </c>
      <c r="Q10" s="164"/>
      <c r="R10" s="160"/>
      <c r="S10" s="112"/>
      <c r="T10" s="207">
        <f t="shared" si="0"/>
        <v>0</v>
      </c>
      <c r="U10" s="164"/>
      <c r="V10" s="160"/>
      <c r="W10" s="112"/>
      <c r="X10" s="207">
        <f t="shared" si="1"/>
        <v>0</v>
      </c>
      <c r="Y10" s="178" t="s">
        <v>226</v>
      </c>
      <c r="Z10" s="26">
        <f>IFERROR((P10*100%)/I10,"-")</f>
        <v>0</v>
      </c>
      <c r="AA10" s="26">
        <f t="shared" ref="AA10:AA11" si="3">IFERROR((T10*100%)/I10,"-")</f>
        <v>0</v>
      </c>
      <c r="AB10" s="26">
        <f>IFERROR(IF(X10&gt;=0.3,1,(X10*100%)/0.3),"-")</f>
        <v>0</v>
      </c>
      <c r="AC10" s="179"/>
      <c r="AD10" s="185"/>
      <c r="AE10" s="30"/>
      <c r="AF10" s="28"/>
      <c r="AG10" s="215"/>
    </row>
    <row r="11" spans="1:33" ht="64.5" customHeight="1" x14ac:dyDescent="0.25">
      <c r="A11" s="746"/>
      <c r="B11" s="601"/>
      <c r="C11" s="696"/>
      <c r="D11" s="696"/>
      <c r="E11" s="696"/>
      <c r="F11" s="437" t="s">
        <v>762</v>
      </c>
      <c r="G11" s="160" t="s">
        <v>341</v>
      </c>
      <c r="H11" s="160" t="s">
        <v>340</v>
      </c>
      <c r="I11" s="82">
        <v>2</v>
      </c>
      <c r="J11" s="223" t="s">
        <v>497</v>
      </c>
      <c r="K11" s="366" t="s">
        <v>686</v>
      </c>
      <c r="L11" s="716"/>
      <c r="M11" s="82"/>
      <c r="N11" s="78"/>
      <c r="O11" s="112"/>
      <c r="P11" s="82">
        <f t="shared" si="2"/>
        <v>0</v>
      </c>
      <c r="Q11" s="164"/>
      <c r="R11" s="160"/>
      <c r="S11" s="112"/>
      <c r="T11" s="207">
        <f t="shared" si="0"/>
        <v>0</v>
      </c>
      <c r="U11" s="172"/>
      <c r="V11" s="160"/>
      <c r="W11" s="112"/>
      <c r="X11" s="477">
        <f t="shared" si="1"/>
        <v>0</v>
      </c>
      <c r="Y11" s="178" t="s">
        <v>226</v>
      </c>
      <c r="Z11" s="26">
        <f>IFERROR((P11*100%)/I11,"-")</f>
        <v>0</v>
      </c>
      <c r="AA11" s="26">
        <f t="shared" si="3"/>
        <v>0</v>
      </c>
      <c r="AB11" s="26">
        <f>IFERROR((X11*100%)/I11,"-")</f>
        <v>0</v>
      </c>
      <c r="AC11" s="179"/>
      <c r="AD11" s="185"/>
      <c r="AE11" s="30"/>
      <c r="AF11" s="28"/>
      <c r="AG11" s="215"/>
    </row>
    <row r="12" spans="1:33" ht="78" customHeight="1" x14ac:dyDescent="0.25">
      <c r="A12" s="746"/>
      <c r="B12" s="601"/>
      <c r="C12" s="696"/>
      <c r="D12" s="696"/>
      <c r="E12" s="696"/>
      <c r="F12" s="437" t="s">
        <v>722</v>
      </c>
      <c r="G12" s="160" t="s">
        <v>342</v>
      </c>
      <c r="H12" s="160" t="s">
        <v>343</v>
      </c>
      <c r="I12" s="82">
        <v>1</v>
      </c>
      <c r="J12" s="223" t="s">
        <v>497</v>
      </c>
      <c r="K12" s="366" t="s">
        <v>704</v>
      </c>
      <c r="L12" s="762"/>
      <c r="M12" s="82"/>
      <c r="N12" s="78"/>
      <c r="O12" s="112" t="s">
        <v>837</v>
      </c>
      <c r="P12" s="82">
        <f t="shared" si="2"/>
        <v>0</v>
      </c>
      <c r="Q12" s="164"/>
      <c r="R12" s="160"/>
      <c r="S12" s="112"/>
      <c r="T12" s="207">
        <f t="shared" si="0"/>
        <v>0</v>
      </c>
      <c r="U12" s="172"/>
      <c r="V12" s="160"/>
      <c r="W12" s="112"/>
      <c r="X12" s="477">
        <f t="shared" si="1"/>
        <v>0</v>
      </c>
      <c r="Y12" s="178" t="s">
        <v>226</v>
      </c>
      <c r="Z12" s="26">
        <f>IFERROR((P12*100%)/I12,"-")</f>
        <v>0</v>
      </c>
      <c r="AA12" s="26">
        <f>IFERROR((T12*100%)/I12,"-")</f>
        <v>0</v>
      </c>
      <c r="AB12" s="26">
        <f>IFERROR((X12*100%)/I12,"-")</f>
        <v>0</v>
      </c>
      <c r="AC12" s="179">
        <f>IFERROR(AVERAGE(Y12:AB12),"-")</f>
        <v>0</v>
      </c>
      <c r="AD12" s="185"/>
      <c r="AE12" s="30"/>
      <c r="AF12" s="28"/>
      <c r="AG12" s="215"/>
    </row>
    <row r="13" spans="1:33" ht="26.25" customHeight="1" thickBot="1" x14ac:dyDescent="0.3">
      <c r="A13" s="751" t="s">
        <v>294</v>
      </c>
      <c r="B13" s="752"/>
      <c r="C13" s="752"/>
      <c r="D13" s="752"/>
      <c r="E13" s="752"/>
      <c r="F13" s="752"/>
      <c r="G13" s="752"/>
      <c r="H13" s="752"/>
      <c r="I13" s="752"/>
      <c r="J13" s="752"/>
      <c r="K13" s="752"/>
      <c r="L13" s="763"/>
      <c r="M13" s="393" t="str">
        <f>+IFERROR(AVERAGE(M7:M12),"-")</f>
        <v>-</v>
      </c>
      <c r="N13" s="214"/>
      <c r="O13" s="159"/>
      <c r="P13" s="747">
        <f>IFERROR(AVERAGE(P7:P12),"-")</f>
        <v>0</v>
      </c>
      <c r="Q13" s="213" t="str">
        <f ca="1">+IFERROR(PR+OMEDIO(Q7:Q12),"-")</f>
        <v>-</v>
      </c>
      <c r="R13" s="214"/>
      <c r="S13" s="159"/>
      <c r="T13" s="707">
        <f>IFERROR(AVERAGE(T7:T12),"-")</f>
        <v>0</v>
      </c>
      <c r="U13" s="213" t="str">
        <f ca="1">+IFERROR(PR+OMEDIO(U7:U12),"-")</f>
        <v>-</v>
      </c>
      <c r="V13" s="214"/>
      <c r="W13" s="159"/>
      <c r="X13" s="707">
        <f>IFERROR(AVERAGE(X7:X12),"-")</f>
        <v>0</v>
      </c>
      <c r="Y13" s="192" t="str">
        <f t="shared" ref="Y13:AB13" si="4">IFERROR(AVERAGE(Y7:Y12),"-")</f>
        <v>-</v>
      </c>
      <c r="Z13" s="193">
        <f t="shared" si="4"/>
        <v>0</v>
      </c>
      <c r="AA13" s="193">
        <f t="shared" si="4"/>
        <v>0</v>
      </c>
      <c r="AB13" s="59">
        <f t="shared" si="4"/>
        <v>0</v>
      </c>
      <c r="AC13" s="719">
        <f>IFERROR(AVERAGE(AC7:AC12),"-")</f>
        <v>0</v>
      </c>
      <c r="AD13" s="187"/>
      <c r="AE13" s="188"/>
      <c r="AF13" s="189"/>
      <c r="AG13" s="190"/>
    </row>
    <row r="14" spans="1:33" ht="27" thickBot="1" x14ac:dyDescent="0.3">
      <c r="A14" s="29"/>
      <c r="B14" s="29"/>
      <c r="C14" s="29"/>
      <c r="D14" s="29"/>
      <c r="E14" s="29"/>
      <c r="F14" s="38"/>
      <c r="G14" s="29"/>
      <c r="H14" s="29"/>
      <c r="I14" s="29"/>
      <c r="J14" s="29"/>
      <c r="K14" s="29"/>
      <c r="L14" s="133"/>
      <c r="M14" s="203"/>
      <c r="N14" s="202"/>
      <c r="O14" s="209" t="s">
        <v>425</v>
      </c>
      <c r="P14" s="748"/>
      <c r="Q14" s="201"/>
      <c r="R14" s="202"/>
      <c r="S14" s="209" t="s">
        <v>429</v>
      </c>
      <c r="T14" s="671"/>
      <c r="U14" s="201"/>
      <c r="V14" s="202"/>
      <c r="W14" s="209" t="s">
        <v>430</v>
      </c>
      <c r="X14" s="671"/>
      <c r="Y14" s="194"/>
      <c r="Z14" s="195"/>
      <c r="AA14" s="196"/>
      <c r="AB14" s="180" t="s">
        <v>295</v>
      </c>
      <c r="AC14" s="720"/>
      <c r="AD14" s="29"/>
      <c r="AE14" s="29"/>
      <c r="AF14" s="29"/>
      <c r="AG14" s="29"/>
    </row>
    <row r="16" spans="1:33" ht="45" x14ac:dyDescent="0.25">
      <c r="G16" s="631" t="s">
        <v>580</v>
      </c>
      <c r="H16" s="632"/>
      <c r="I16" s="632"/>
      <c r="J16" s="633"/>
      <c r="K16" s="295" t="s">
        <v>577</v>
      </c>
      <c r="L16" s="313" t="s">
        <v>578</v>
      </c>
      <c r="M16" s="296" t="s">
        <v>582</v>
      </c>
      <c r="N16" s="296" t="s">
        <v>583</v>
      </c>
      <c r="O16" s="297" t="s">
        <v>581</v>
      </c>
      <c r="P16" s="438"/>
      <c r="Q16" s="296" t="s">
        <v>582</v>
      </c>
      <c r="R16" s="296" t="s">
        <v>729</v>
      </c>
      <c r="S16" s="296" t="s">
        <v>583</v>
      </c>
      <c r="T16" s="297" t="s">
        <v>581</v>
      </c>
      <c r="U16" s="296" t="s">
        <v>582</v>
      </c>
      <c r="V16" s="296" t="s">
        <v>729</v>
      </c>
      <c r="W16" s="296" t="s">
        <v>733</v>
      </c>
      <c r="X16" s="296" t="s">
        <v>583</v>
      </c>
      <c r="Y16" s="297" t="s">
        <v>581</v>
      </c>
      <c r="AB16" s="460"/>
    </row>
    <row r="17" spans="7:28" x14ac:dyDescent="0.25">
      <c r="G17" s="726" t="s">
        <v>419</v>
      </c>
      <c r="H17" s="727"/>
      <c r="I17" s="727"/>
      <c r="J17" s="728"/>
      <c r="K17" s="299">
        <v>0.6</v>
      </c>
      <c r="L17" s="509">
        <v>0.2</v>
      </c>
      <c r="M17" s="299">
        <f>+P7</f>
        <v>0</v>
      </c>
      <c r="N17" s="299">
        <f>IFERROR(IF(M17&gt;=0.6,1,(M17*100%)/0.6),"-")</f>
        <v>0</v>
      </c>
      <c r="O17" s="332">
        <f>IFERROR(+IF(N17=100%,L17,(+N17*L17)),"-")</f>
        <v>0</v>
      </c>
      <c r="P17" s="439"/>
      <c r="Q17" s="299">
        <f>+T7</f>
        <v>0</v>
      </c>
      <c r="R17" s="299">
        <f>+M17</f>
        <v>0</v>
      </c>
      <c r="S17" s="299">
        <f>IFERROR(IF(AVERAGE(Q17,R17)&gt;=0.6,1,(AVERAGE(Q17,R17)*100%)/0.6),"-")</f>
        <v>0</v>
      </c>
      <c r="T17" s="332">
        <f>IFERROR(+IF(S17=100%,L17,(+S17*L17)),"-")</f>
        <v>0</v>
      </c>
      <c r="U17" s="299">
        <f>+X7</f>
        <v>0</v>
      </c>
      <c r="V17" s="299">
        <f>+M17</f>
        <v>0</v>
      </c>
      <c r="W17" s="299">
        <f>+Q17</f>
        <v>0</v>
      </c>
      <c r="X17" s="299">
        <f>IFERROR(IF(AVERAGE(U17,V17,W17)&gt;=0.6,1,(AVERAGE(U17,V17,W17)*100%)/0.6),"-")</f>
        <v>0</v>
      </c>
      <c r="Y17" s="332">
        <f>IFERROR(+IF(X17=100%,L17,(+X17*L17)),"-")</f>
        <v>0</v>
      </c>
      <c r="AB17" s="759"/>
    </row>
    <row r="18" spans="7:28" x14ac:dyDescent="0.25">
      <c r="G18" s="726" t="str">
        <f>+G8</f>
        <v xml:space="preserve">Resultados de aprendizaje y capacitación en formación continua. </v>
      </c>
      <c r="H18" s="727"/>
      <c r="I18" s="727"/>
      <c r="J18" s="728"/>
      <c r="K18" s="299" t="s">
        <v>141</v>
      </c>
      <c r="L18" s="509">
        <v>0.2</v>
      </c>
      <c r="M18" s="299">
        <f>+P9</f>
        <v>0</v>
      </c>
      <c r="N18" s="299">
        <f>IFERROR(IF(M18&gt;=0.9,1,(M18*100%)/0.9),"-")</f>
        <v>0</v>
      </c>
      <c r="O18" s="332">
        <f>+IFERROR(IF(N18=100%,L18,(+N18*L18)),"-")</f>
        <v>0</v>
      </c>
      <c r="P18" s="439"/>
      <c r="Q18" s="299">
        <f>+T9</f>
        <v>0</v>
      </c>
      <c r="R18" s="299">
        <f>+M18</f>
        <v>0</v>
      </c>
      <c r="S18" s="299">
        <f>IFERROR(IF(AVERAGE(Q18,R18)&gt;=0.6,1,(AVERAGE(Q18,R18)*100%)/0.6),"-")</f>
        <v>0</v>
      </c>
      <c r="T18" s="332">
        <f>IFERROR(+IF(S18=100%,L18,(+S18*L18)),"-")</f>
        <v>0</v>
      </c>
      <c r="U18" s="299">
        <f>+X9</f>
        <v>0</v>
      </c>
      <c r="V18" s="299">
        <f>+M18</f>
        <v>0</v>
      </c>
      <c r="W18" s="299">
        <f>+Q18</f>
        <v>0</v>
      </c>
      <c r="X18" s="299">
        <f>IFERROR(IF(AVERAGE(U18,V18,W18)&gt;=0.6,1,(AVERAGE(U18,V18,W18)*100%)/0.6),"-")</f>
        <v>0</v>
      </c>
      <c r="Y18" s="332">
        <f>IFERROR(+IF(X18=100%,L18,(+X18*L18)),"-")</f>
        <v>0</v>
      </c>
      <c r="AB18" s="760"/>
    </row>
    <row r="19" spans="7:28" x14ac:dyDescent="0.25">
      <c r="G19" s="726" t="s">
        <v>337</v>
      </c>
      <c r="H19" s="727"/>
      <c r="I19" s="727"/>
      <c r="J19" s="728"/>
      <c r="K19" s="299" t="s">
        <v>141</v>
      </c>
      <c r="L19" s="509">
        <v>0.3</v>
      </c>
      <c r="M19" s="299">
        <v>0</v>
      </c>
      <c r="N19" s="299">
        <f>IFERROR(IF(M19&gt;=0.9,1,(M19*100%)/0.9),"-")</f>
        <v>0</v>
      </c>
      <c r="O19" s="332">
        <f>+IFERROR(IF(N19=100%,L19,(+N19*L19)),"-")</f>
        <v>0</v>
      </c>
      <c r="P19" s="439"/>
      <c r="Q19" s="299">
        <f>+T10</f>
        <v>0</v>
      </c>
      <c r="R19" s="299">
        <f>+M19</f>
        <v>0</v>
      </c>
      <c r="S19" s="299">
        <f>IFERROR(IF(AVERAGE(Q19,R19)&gt;=0.6,1,(AVERAGE(Q19,R19)*100%)/0.6),"-")</f>
        <v>0</v>
      </c>
      <c r="T19" s="332">
        <f>IFERROR(+IF(S19=100%,L19,(+S19*L19)),"-")</f>
        <v>0</v>
      </c>
      <c r="U19" s="299">
        <f>+X10</f>
        <v>0</v>
      </c>
      <c r="V19" s="299"/>
      <c r="W19" s="299"/>
      <c r="X19" s="299">
        <f>IFERROR(IF(AVERAGE(U19:V19:W19)&gt;=0.6,1,(AVERAGE(U19:V19:W19)*100%)/0.6),"-")</f>
        <v>0</v>
      </c>
      <c r="Y19" s="332">
        <f>IFERROR(+IF(X19=100%,L19,(+X19*L19)),"-")</f>
        <v>0</v>
      </c>
      <c r="AB19" s="760"/>
    </row>
    <row r="20" spans="7:28" ht="21" x14ac:dyDescent="0.35">
      <c r="L20" s="331">
        <f>SUM(L17:L19)</f>
        <v>0.7</v>
      </c>
      <c r="O20" s="381">
        <f>IFERROR(SUM(O17:O19),"-")</f>
        <v>0</v>
      </c>
      <c r="P20" s="440"/>
      <c r="T20" s="381">
        <f>IFERROR(SUM(T17:T19),"-")</f>
        <v>0</v>
      </c>
      <c r="Y20" s="381">
        <f>IFERROR(SUM(Y17:Y19),"-")</f>
        <v>0</v>
      </c>
    </row>
    <row r="21" spans="7:28" x14ac:dyDescent="0.25">
      <c r="V21" s="115"/>
    </row>
    <row r="22" spans="7:28" x14ac:dyDescent="0.25">
      <c r="V22" s="115"/>
    </row>
    <row r="23" spans="7:28" x14ac:dyDescent="0.25">
      <c r="V23" s="115"/>
    </row>
  </sheetData>
  <mergeCells count="48">
    <mergeCell ref="AE1:AG2"/>
    <mergeCell ref="A2:B3"/>
    <mergeCell ref="C2:AD3"/>
    <mergeCell ref="AE3:AG3"/>
    <mergeCell ref="A4:D4"/>
    <mergeCell ref="O5:O6"/>
    <mergeCell ref="H5:H6"/>
    <mergeCell ref="I5:I6"/>
    <mergeCell ref="F7:F9"/>
    <mergeCell ref="A1:B1"/>
    <mergeCell ref="C1:AD1"/>
    <mergeCell ref="A5:A6"/>
    <mergeCell ref="B5:B6"/>
    <mergeCell ref="C5:C6"/>
    <mergeCell ref="D5:D6"/>
    <mergeCell ref="G8:G9"/>
    <mergeCell ref="A13:L13"/>
    <mergeCell ref="T13:T14"/>
    <mergeCell ref="P13:P14"/>
    <mergeCell ref="X13:X14"/>
    <mergeCell ref="AD5:AG5"/>
    <mergeCell ref="R5:R6"/>
    <mergeCell ref="S5:S6"/>
    <mergeCell ref="A7:A12"/>
    <mergeCell ref="B7:B12"/>
    <mergeCell ref="C7:C12"/>
    <mergeCell ref="D7:D12"/>
    <mergeCell ref="E7:E12"/>
    <mergeCell ref="E5:E6"/>
    <mergeCell ref="F5:F6"/>
    <mergeCell ref="G5:G6"/>
    <mergeCell ref="N5:N6"/>
    <mergeCell ref="AB17:AB19"/>
    <mergeCell ref="T5:T6"/>
    <mergeCell ref="X5:X6"/>
    <mergeCell ref="L7:L12"/>
    <mergeCell ref="J5:J6"/>
    <mergeCell ref="V5:V6"/>
    <mergeCell ref="W5:W6"/>
    <mergeCell ref="K5:K6"/>
    <mergeCell ref="L5:L6"/>
    <mergeCell ref="P5:P6"/>
    <mergeCell ref="Y5:AC5"/>
    <mergeCell ref="G19:J19"/>
    <mergeCell ref="G16:J16"/>
    <mergeCell ref="G17:J17"/>
    <mergeCell ref="G18:J18"/>
    <mergeCell ref="AC13:AC14"/>
  </mergeCells>
  <phoneticPr fontId="36" type="noConversion"/>
  <conditionalFormatting sqref="AC13 Y7:AC12">
    <cfRule type="cellIs" dxfId="11" priority="1" operator="lessThan">
      <formula>0.6</formula>
    </cfRule>
    <cfRule type="cellIs" dxfId="10" priority="2" operator="between">
      <formula>60%</formula>
      <formula>79%</formula>
    </cfRule>
    <cfRule type="cellIs" dxfId="9" priority="3" operator="between">
      <formula>80%</formula>
      <formula>100%</formula>
    </cfRule>
  </conditionalFormatting>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G11"/>
  <sheetViews>
    <sheetView topLeftCell="F2" zoomScale="70" zoomScaleNormal="70" workbookViewId="0">
      <selection activeCell="M7" sqref="M7"/>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 customWidth="1"/>
    <col min="7" max="7" width="20" customWidth="1"/>
    <col min="8" max="8" width="25.28515625" customWidth="1"/>
    <col min="9" max="10" width="14.42578125" customWidth="1"/>
    <col min="11" max="11" width="17.7109375" customWidth="1"/>
    <col min="12" max="12" width="13.7109375" customWidth="1"/>
    <col min="13" max="13" width="19.42578125" customWidth="1"/>
    <col min="14" max="14" width="39.42578125" customWidth="1"/>
    <col min="15" max="15" width="31.140625" customWidth="1"/>
    <col min="16" max="16" width="25" customWidth="1"/>
    <col min="17" max="17" width="19.42578125" hidden="1" customWidth="1"/>
    <col min="18" max="18" width="39.42578125" hidden="1" customWidth="1"/>
    <col min="19" max="20" width="25" hidden="1" customWidth="1"/>
    <col min="21" max="21" width="19.42578125" hidden="1" customWidth="1"/>
    <col min="22" max="22" width="39.42578125" hidden="1" customWidth="1"/>
    <col min="23" max="24" width="25" hidden="1" customWidth="1"/>
    <col min="25" max="29" width="17.7109375" customWidth="1"/>
    <col min="30" max="33" width="26.5703125" customWidth="1"/>
  </cols>
  <sheetData>
    <row r="1" spans="1:33"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5">
      <c r="A2" s="593" t="s">
        <v>628</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629</v>
      </c>
      <c r="AF3" s="613"/>
      <c r="AG3" s="613"/>
    </row>
    <row r="4" spans="1:33" ht="15.75" thickBot="1" x14ac:dyDescent="0.3">
      <c r="A4" s="627" t="s">
        <v>193</v>
      </c>
      <c r="B4" s="627"/>
      <c r="C4" s="627"/>
      <c r="D4" s="627"/>
      <c r="E4" s="29"/>
      <c r="F4" s="38"/>
      <c r="G4" s="29"/>
      <c r="H4" s="29"/>
      <c r="I4" s="29"/>
      <c r="J4" s="29"/>
      <c r="K4" s="29"/>
      <c r="L4" s="29"/>
      <c r="M4" s="56"/>
      <c r="N4" s="29"/>
      <c r="O4" s="29"/>
      <c r="P4" s="29"/>
      <c r="Q4" s="56"/>
      <c r="R4" s="29"/>
      <c r="S4" s="29"/>
      <c r="T4" s="29"/>
      <c r="U4" s="56"/>
      <c r="V4" s="29"/>
      <c r="W4" s="29"/>
      <c r="X4" s="29"/>
      <c r="Y4" s="29"/>
      <c r="Z4" s="29"/>
      <c r="AA4" s="29"/>
      <c r="AB4" s="29"/>
      <c r="AC4" s="29"/>
      <c r="AD4" s="29"/>
      <c r="AE4" s="29"/>
      <c r="AF4" s="29"/>
      <c r="AG4" s="29"/>
    </row>
    <row r="5" spans="1:33" ht="69" customHeight="1" x14ac:dyDescent="0.25">
      <c r="A5" s="606" t="s">
        <v>1</v>
      </c>
      <c r="B5" s="594" t="s">
        <v>3</v>
      </c>
      <c r="C5" s="594" t="s">
        <v>194</v>
      </c>
      <c r="D5" s="594" t="s">
        <v>195</v>
      </c>
      <c r="E5" s="594" t="s">
        <v>196</v>
      </c>
      <c r="F5" s="642" t="s">
        <v>231</v>
      </c>
      <c r="G5" s="594" t="s">
        <v>228</v>
      </c>
      <c r="H5" s="594" t="s">
        <v>227</v>
      </c>
      <c r="I5" s="594" t="s">
        <v>8</v>
      </c>
      <c r="J5" s="769" t="s">
        <v>495</v>
      </c>
      <c r="K5" s="594" t="s">
        <v>519</v>
      </c>
      <c r="L5" s="767" t="s">
        <v>9</v>
      </c>
      <c r="M5" s="206" t="s">
        <v>424</v>
      </c>
      <c r="N5" s="610" t="s">
        <v>421</v>
      </c>
      <c r="O5" s="610" t="s">
        <v>423</v>
      </c>
      <c r="P5" s="608" t="s">
        <v>488</v>
      </c>
      <c r="Q5" s="199" t="s">
        <v>339</v>
      </c>
      <c r="R5" s="610" t="s">
        <v>421</v>
      </c>
      <c r="S5" s="610" t="s">
        <v>423</v>
      </c>
      <c r="T5" s="608" t="s">
        <v>491</v>
      </c>
      <c r="U5" s="199" t="s">
        <v>339</v>
      </c>
      <c r="V5" s="610" t="s">
        <v>421</v>
      </c>
      <c r="W5" s="610" t="s">
        <v>423</v>
      </c>
      <c r="X5" s="608" t="s">
        <v>493</v>
      </c>
      <c r="Y5" s="652" t="s">
        <v>11</v>
      </c>
      <c r="Z5" s="653"/>
      <c r="AA5" s="653"/>
      <c r="AB5" s="653"/>
      <c r="AC5" s="654"/>
      <c r="AD5" s="624" t="s">
        <v>197</v>
      </c>
      <c r="AE5" s="625"/>
      <c r="AF5" s="625"/>
      <c r="AG5" s="626"/>
    </row>
    <row r="6" spans="1:33" ht="57" customHeight="1" x14ac:dyDescent="0.25">
      <c r="A6" s="607"/>
      <c r="B6" s="535"/>
      <c r="C6" s="535"/>
      <c r="D6" s="535"/>
      <c r="E6" s="535"/>
      <c r="F6" s="643"/>
      <c r="G6" s="535"/>
      <c r="H6" s="535"/>
      <c r="I6" s="535"/>
      <c r="J6" s="770"/>
      <c r="K6" s="535"/>
      <c r="L6" s="768"/>
      <c r="M6" s="163" t="s">
        <v>299</v>
      </c>
      <c r="N6" s="611"/>
      <c r="O6" s="611"/>
      <c r="P6" s="609"/>
      <c r="Q6" s="163" t="s">
        <v>288</v>
      </c>
      <c r="R6" s="611"/>
      <c r="S6" s="611"/>
      <c r="T6" s="609"/>
      <c r="U6" s="163" t="s">
        <v>313</v>
      </c>
      <c r="V6" s="611"/>
      <c r="W6" s="611"/>
      <c r="X6" s="609"/>
      <c r="Y6" s="176" t="s">
        <v>198</v>
      </c>
      <c r="Z6" s="5" t="s">
        <v>199</v>
      </c>
      <c r="AA6" s="5" t="s">
        <v>200</v>
      </c>
      <c r="AB6" s="5" t="s">
        <v>201</v>
      </c>
      <c r="AC6" s="177" t="s">
        <v>20</v>
      </c>
      <c r="AD6" s="181" t="s">
        <v>202</v>
      </c>
      <c r="AE6" s="33" t="s">
        <v>203</v>
      </c>
      <c r="AF6" s="33" t="s">
        <v>204</v>
      </c>
      <c r="AG6" s="182" t="s">
        <v>205</v>
      </c>
    </row>
    <row r="7" spans="1:33" ht="119.25" customHeight="1" x14ac:dyDescent="0.25">
      <c r="A7" s="324" t="s">
        <v>167</v>
      </c>
      <c r="B7" s="321" t="s">
        <v>332</v>
      </c>
      <c r="C7" s="321" t="s">
        <v>333</v>
      </c>
      <c r="D7" s="321" t="s">
        <v>334</v>
      </c>
      <c r="E7" s="321" t="s">
        <v>338</v>
      </c>
      <c r="F7" s="325">
        <v>0.3</v>
      </c>
      <c r="G7" s="160" t="s">
        <v>337</v>
      </c>
      <c r="H7" s="160" t="s">
        <v>336</v>
      </c>
      <c r="I7" s="129" t="s">
        <v>141</v>
      </c>
      <c r="J7" s="223" t="s">
        <v>497</v>
      </c>
      <c r="K7" s="366" t="s">
        <v>706</v>
      </c>
      <c r="L7" s="205" t="s">
        <v>174</v>
      </c>
      <c r="M7" s="164">
        <v>0.9</v>
      </c>
      <c r="N7" s="57" t="s">
        <v>427</v>
      </c>
      <c r="O7" s="112" t="s">
        <v>705</v>
      </c>
      <c r="P7" s="207">
        <f>+M7</f>
        <v>0.9</v>
      </c>
      <c r="Q7" s="164" t="s">
        <v>428</v>
      </c>
      <c r="R7" s="57"/>
      <c r="S7" s="112"/>
      <c r="T7" s="207" t="str">
        <f>+Q7</f>
        <v>-</v>
      </c>
      <c r="U7" s="164" t="s">
        <v>428</v>
      </c>
      <c r="V7" s="57"/>
      <c r="W7" s="112"/>
      <c r="X7" s="207"/>
      <c r="Y7" s="178" t="s">
        <v>226</v>
      </c>
      <c r="Z7" s="26">
        <f>IFERROR(IF(P8&gt;=0.9,1,(P8*100%)/0.9),"-")</f>
        <v>1</v>
      </c>
      <c r="AA7" s="26" t="str">
        <f>IFERROR((T7*100%)/$I$7,"-")</f>
        <v>-</v>
      </c>
      <c r="AB7" s="26" t="str">
        <f>IFERROR((X7*100%)/$I$7,"-")</f>
        <v>-</v>
      </c>
      <c r="AC7" s="179">
        <f>IFERROR(AVERAGE(Y7:AB7),"-")</f>
        <v>1</v>
      </c>
      <c r="AD7" s="183"/>
      <c r="AE7" s="35"/>
      <c r="AF7" s="36"/>
      <c r="AG7" s="184"/>
    </row>
    <row r="8" spans="1:33" ht="26.25" thickBot="1" x14ac:dyDescent="0.3">
      <c r="A8" s="596" t="s">
        <v>294</v>
      </c>
      <c r="B8" s="597"/>
      <c r="C8" s="597"/>
      <c r="D8" s="597"/>
      <c r="E8" s="597"/>
      <c r="F8" s="597"/>
      <c r="G8" s="597"/>
      <c r="H8" s="597"/>
      <c r="I8" s="597"/>
      <c r="J8" s="598"/>
      <c r="K8" s="598"/>
      <c r="L8" s="599"/>
      <c r="M8" s="338">
        <f>+IFERROR(AVERAGE(M7:M7),"-")</f>
        <v>0.9</v>
      </c>
      <c r="N8" s="169"/>
      <c r="O8" s="135"/>
      <c r="P8" s="616">
        <f>IFERROR(AVERAGE(P7:P7),"-")</f>
        <v>0.9</v>
      </c>
      <c r="Q8" s="210" t="str">
        <f>+IFERROR(AVERAGE(Q7:Q7),"-")</f>
        <v>-</v>
      </c>
      <c r="R8" s="169"/>
      <c r="S8" s="135"/>
      <c r="T8" s="616" t="str">
        <f>IFERROR(AVERAGE(T7:T7),"-")</f>
        <v>-</v>
      </c>
      <c r="U8" s="210" t="str">
        <f>+IFERROR(AVERAGE(U7:U7),"-")</f>
        <v>-</v>
      </c>
      <c r="V8" s="169"/>
      <c r="W8" s="135"/>
      <c r="X8" s="700" t="str">
        <f>IFERROR(AVERAGE(U7:U7),"-")</f>
        <v>-</v>
      </c>
      <c r="Y8" s="192" t="str">
        <f>IFERROR(AVERAGE(Y7:Y7),"-")</f>
        <v>-</v>
      </c>
      <c r="Z8" s="193">
        <f>IFERROR(AVERAGE(Z7:Z7),"-")</f>
        <v>1</v>
      </c>
      <c r="AA8" s="193" t="str">
        <f>IFERROR(AVERAGE(AA7:AA7),"-")</f>
        <v>-</v>
      </c>
      <c r="AB8" s="59" t="str">
        <f>IFERROR(AVERAGE(AB7:AB7),"-")</f>
        <v>-</v>
      </c>
      <c r="AC8" s="719">
        <f>IFERROR(AVERAGE(AC7:AC7),"-")</f>
        <v>1</v>
      </c>
      <c r="AD8" s="187"/>
      <c r="AE8" s="188"/>
      <c r="AF8" s="189"/>
      <c r="AG8" s="190"/>
    </row>
    <row r="9" spans="1:33" ht="27" thickBot="1" x14ac:dyDescent="0.3">
      <c r="A9" s="29"/>
      <c r="B9" s="29"/>
      <c r="C9" s="29"/>
      <c r="D9" s="29"/>
      <c r="E9" s="29"/>
      <c r="F9" s="38"/>
      <c r="G9" s="29"/>
      <c r="H9" s="29"/>
      <c r="I9" s="29"/>
      <c r="J9" s="29"/>
      <c r="K9" s="29"/>
      <c r="M9" s="203"/>
      <c r="N9" s="202"/>
      <c r="O9" s="209" t="s">
        <v>425</v>
      </c>
      <c r="P9" s="617"/>
      <c r="Q9" s="201"/>
      <c r="R9" s="202"/>
      <c r="S9" s="209" t="s">
        <v>297</v>
      </c>
      <c r="T9" s="617"/>
      <c r="U9" s="201"/>
      <c r="V9" s="203"/>
      <c r="W9" s="211" t="s">
        <v>426</v>
      </c>
      <c r="X9" s="701"/>
      <c r="Y9" s="194"/>
      <c r="Z9" s="195"/>
      <c r="AA9" s="196"/>
      <c r="AB9" s="180" t="s">
        <v>295</v>
      </c>
      <c r="AC9" s="720"/>
      <c r="AD9" s="29"/>
      <c r="AE9" s="29"/>
      <c r="AF9" s="29"/>
      <c r="AG9" s="29"/>
    </row>
    <row r="10" spans="1:33" x14ac:dyDescent="0.25">
      <c r="O10" s="133"/>
      <c r="P10" s="133"/>
      <c r="S10" s="133"/>
      <c r="T10" s="133"/>
      <c r="W10" s="133"/>
      <c r="X10" s="133"/>
    </row>
    <row r="11" spans="1:33" x14ac:dyDescent="0.25">
      <c r="O11" s="134"/>
      <c r="P11" s="134"/>
      <c r="S11" s="134"/>
      <c r="T11" s="134"/>
      <c r="W11" s="134"/>
      <c r="X11" s="134"/>
    </row>
  </sheetData>
  <mergeCells count="35">
    <mergeCell ref="T5:T6"/>
    <mergeCell ref="S5:S6"/>
    <mergeCell ref="I5:I6"/>
    <mergeCell ref="E5:E6"/>
    <mergeCell ref="A4:D4"/>
    <mergeCell ref="A5:A6"/>
    <mergeCell ref="B5:B6"/>
    <mergeCell ref="C5:C6"/>
    <mergeCell ref="P5:P6"/>
    <mergeCell ref="F5:F6"/>
    <mergeCell ref="G5:G6"/>
    <mergeCell ref="H5:H6"/>
    <mergeCell ref="J5:J6"/>
    <mergeCell ref="K5:K6"/>
    <mergeCell ref="X5:X6"/>
    <mergeCell ref="AE1:AG2"/>
    <mergeCell ref="A2:B3"/>
    <mergeCell ref="C2:AD3"/>
    <mergeCell ref="AE3:AG3"/>
    <mergeCell ref="D5:D6"/>
    <mergeCell ref="Y5:AC5"/>
    <mergeCell ref="AD5:AG5"/>
    <mergeCell ref="V5:V6"/>
    <mergeCell ref="W5:W6"/>
    <mergeCell ref="L5:L6"/>
    <mergeCell ref="N5:N6"/>
    <mergeCell ref="O5:O6"/>
    <mergeCell ref="R5:R6"/>
    <mergeCell ref="A1:B1"/>
    <mergeCell ref="C1:AD1"/>
    <mergeCell ref="AC8:AC9"/>
    <mergeCell ref="A8:L8"/>
    <mergeCell ref="T8:T9"/>
    <mergeCell ref="X8:X9"/>
    <mergeCell ref="P8:P9"/>
  </mergeCells>
  <conditionalFormatting sqref="AC8 Y7:AC7">
    <cfRule type="cellIs" dxfId="8" priority="1" operator="lessThan">
      <formula>0.6</formula>
    </cfRule>
    <cfRule type="cellIs" dxfId="7" priority="2" operator="between">
      <formula>60%</formula>
      <formula>79%</formula>
    </cfRule>
    <cfRule type="cellIs" dxfId="6" priority="3" operator="between">
      <formula>80%</formula>
      <formula>100%</formula>
    </cfRule>
  </conditionalFormatting>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G9"/>
  <sheetViews>
    <sheetView topLeftCell="E1" zoomScale="70" zoomScaleNormal="70" workbookViewId="0">
      <selection activeCell="N7" sqref="N7:O7"/>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28515625" customWidth="1"/>
    <col min="7" max="7" width="20" customWidth="1"/>
    <col min="8" max="8" width="25.28515625" customWidth="1"/>
    <col min="9" max="11" width="14.42578125" customWidth="1"/>
    <col min="12" max="12" width="13.7109375" customWidth="1"/>
    <col min="13" max="13" width="19.42578125" customWidth="1"/>
    <col min="14" max="14" width="32.85546875" customWidth="1"/>
    <col min="15" max="15" width="39.85546875" customWidth="1"/>
    <col min="16" max="16" width="23.140625" customWidth="1"/>
    <col min="17" max="17" width="19.42578125" hidden="1" customWidth="1"/>
    <col min="18" max="18" width="32.85546875" hidden="1" customWidth="1"/>
    <col min="19" max="20" width="23.140625" hidden="1" customWidth="1"/>
    <col min="21" max="21" width="19.42578125" hidden="1" customWidth="1"/>
    <col min="22" max="22" width="32.85546875" hidden="1" customWidth="1"/>
    <col min="23" max="24" width="23.140625" hidden="1" customWidth="1"/>
    <col min="25" max="29" width="17.7109375" customWidth="1"/>
    <col min="30" max="33" width="26.5703125" customWidth="1"/>
  </cols>
  <sheetData>
    <row r="1" spans="1:33"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5">
      <c r="A2" s="593" t="s">
        <v>628</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629</v>
      </c>
      <c r="AF3" s="613"/>
      <c r="AG3" s="613"/>
    </row>
    <row r="4" spans="1:33" ht="15.75" thickBot="1" x14ac:dyDescent="0.3">
      <c r="A4" s="627" t="s">
        <v>193</v>
      </c>
      <c r="B4" s="627"/>
      <c r="C4" s="627"/>
      <c r="D4" s="627"/>
      <c r="E4" s="29"/>
      <c r="F4" s="38"/>
      <c r="G4" s="29"/>
      <c r="H4" s="29"/>
      <c r="I4" s="29"/>
      <c r="J4" s="29"/>
      <c r="K4" s="29"/>
      <c r="L4" s="29"/>
      <c r="M4" s="56"/>
      <c r="N4" s="29"/>
      <c r="O4" s="29"/>
      <c r="P4" s="29"/>
      <c r="Q4" s="56"/>
      <c r="R4" s="29"/>
      <c r="S4" s="29"/>
      <c r="T4" s="29"/>
      <c r="U4" s="56"/>
      <c r="V4" s="29"/>
      <c r="W4" s="29"/>
      <c r="X4" s="29"/>
      <c r="Y4" s="29"/>
      <c r="Z4" s="29"/>
      <c r="AA4" s="29"/>
      <c r="AB4" s="29"/>
      <c r="AC4" s="29"/>
      <c r="AD4" s="29"/>
      <c r="AE4" s="29"/>
      <c r="AF4" s="29"/>
      <c r="AG4" s="29"/>
    </row>
    <row r="5" spans="1:33" ht="57" customHeight="1" x14ac:dyDescent="0.25">
      <c r="A5" s="606" t="s">
        <v>1</v>
      </c>
      <c r="B5" s="594" t="s">
        <v>3</v>
      </c>
      <c r="C5" s="594" t="s">
        <v>194</v>
      </c>
      <c r="D5" s="594" t="s">
        <v>195</v>
      </c>
      <c r="E5" s="594" t="s">
        <v>196</v>
      </c>
      <c r="F5" s="642" t="s">
        <v>231</v>
      </c>
      <c r="G5" s="594" t="s">
        <v>228</v>
      </c>
      <c r="H5" s="594" t="s">
        <v>227</v>
      </c>
      <c r="I5" s="594" t="s">
        <v>8</v>
      </c>
      <c r="J5" s="594" t="s">
        <v>495</v>
      </c>
      <c r="K5" s="594" t="s">
        <v>519</v>
      </c>
      <c r="L5" s="640" t="s">
        <v>9</v>
      </c>
      <c r="M5" s="199" t="s">
        <v>339</v>
      </c>
      <c r="N5" s="610" t="s">
        <v>421</v>
      </c>
      <c r="O5" s="610" t="s">
        <v>423</v>
      </c>
      <c r="P5" s="608" t="s">
        <v>488</v>
      </c>
      <c r="Q5" s="199" t="s">
        <v>339</v>
      </c>
      <c r="R5" s="610" t="s">
        <v>421</v>
      </c>
      <c r="S5" s="610" t="s">
        <v>423</v>
      </c>
      <c r="T5" s="608" t="s">
        <v>491</v>
      </c>
      <c r="U5" s="199" t="s">
        <v>339</v>
      </c>
      <c r="V5" s="610" t="s">
        <v>421</v>
      </c>
      <c r="W5" s="610" t="s">
        <v>423</v>
      </c>
      <c r="X5" s="608" t="s">
        <v>491</v>
      </c>
      <c r="Y5" s="652" t="s">
        <v>11</v>
      </c>
      <c r="Z5" s="653"/>
      <c r="AA5" s="653"/>
      <c r="AB5" s="653"/>
      <c r="AC5" s="654"/>
      <c r="AD5" s="624" t="s">
        <v>197</v>
      </c>
      <c r="AE5" s="625"/>
      <c r="AF5" s="625"/>
      <c r="AG5" s="626"/>
    </row>
    <row r="6" spans="1:33" ht="57" customHeight="1" x14ac:dyDescent="0.25">
      <c r="A6" s="607"/>
      <c r="B6" s="535"/>
      <c r="C6" s="535"/>
      <c r="D6" s="535"/>
      <c r="E6" s="535"/>
      <c r="F6" s="643"/>
      <c r="G6" s="535"/>
      <c r="H6" s="535"/>
      <c r="I6" s="535"/>
      <c r="J6" s="535"/>
      <c r="K6" s="535"/>
      <c r="L6" s="641"/>
      <c r="M6" s="163" t="s">
        <v>299</v>
      </c>
      <c r="N6" s="611"/>
      <c r="O6" s="611"/>
      <c r="P6" s="609"/>
      <c r="Q6" s="163" t="s">
        <v>288</v>
      </c>
      <c r="R6" s="611"/>
      <c r="S6" s="611"/>
      <c r="T6" s="609"/>
      <c r="U6" s="163" t="s">
        <v>313</v>
      </c>
      <c r="V6" s="611"/>
      <c r="W6" s="611"/>
      <c r="X6" s="609"/>
      <c r="Y6" s="176" t="s">
        <v>198</v>
      </c>
      <c r="Z6" s="5" t="s">
        <v>199</v>
      </c>
      <c r="AA6" s="5" t="s">
        <v>200</v>
      </c>
      <c r="AB6" s="5" t="s">
        <v>201</v>
      </c>
      <c r="AC6" s="177" t="s">
        <v>20</v>
      </c>
      <c r="AD6" s="181" t="s">
        <v>202</v>
      </c>
      <c r="AE6" s="33" t="s">
        <v>203</v>
      </c>
      <c r="AF6" s="33" t="s">
        <v>204</v>
      </c>
      <c r="AG6" s="182" t="s">
        <v>205</v>
      </c>
    </row>
    <row r="7" spans="1:33" ht="105.75" customHeight="1" x14ac:dyDescent="0.25">
      <c r="A7" s="324" t="s">
        <v>167</v>
      </c>
      <c r="B7" s="321" t="s">
        <v>332</v>
      </c>
      <c r="C7" s="321" t="s">
        <v>333</v>
      </c>
      <c r="D7" s="321" t="s">
        <v>334</v>
      </c>
      <c r="E7" s="321" t="s">
        <v>222</v>
      </c>
      <c r="F7" s="328">
        <v>1</v>
      </c>
      <c r="G7" s="160" t="s">
        <v>341</v>
      </c>
      <c r="H7" s="160" t="s">
        <v>340</v>
      </c>
      <c r="I7" s="82">
        <v>1</v>
      </c>
      <c r="J7" s="223" t="s">
        <v>497</v>
      </c>
      <c r="K7" s="366" t="s">
        <v>686</v>
      </c>
      <c r="L7" s="205" t="s">
        <v>174</v>
      </c>
      <c r="M7" s="172" t="s">
        <v>226</v>
      </c>
      <c r="N7" s="78" t="s">
        <v>432</v>
      </c>
      <c r="O7" s="394" t="s">
        <v>707</v>
      </c>
      <c r="P7" s="197" t="str">
        <f>+M7</f>
        <v>NA</v>
      </c>
      <c r="Q7" s="172" t="s">
        <v>226</v>
      </c>
      <c r="R7" s="78" t="s">
        <v>432</v>
      </c>
      <c r="S7" s="79"/>
      <c r="T7" s="197" t="s">
        <v>226</v>
      </c>
      <c r="U7" s="172" t="s">
        <v>428</v>
      </c>
      <c r="V7" s="78" t="s">
        <v>432</v>
      </c>
      <c r="W7" s="79"/>
      <c r="X7" s="197" t="str">
        <f>+U7</f>
        <v>-</v>
      </c>
      <c r="Y7" s="178" t="s">
        <v>226</v>
      </c>
      <c r="Z7" s="26" t="str">
        <f>IFERROR((P7*100%)/$I$7,"-")</f>
        <v>-</v>
      </c>
      <c r="AA7" s="26" t="str">
        <f>IFERROR((T7*100%)/$I$7,"-")</f>
        <v>-</v>
      </c>
      <c r="AB7" s="26" t="str">
        <f>IFERROR((X7*100%)/$I$7,"-")</f>
        <v>-</v>
      </c>
      <c r="AC7" s="179" t="str">
        <f>IFERROR(AVERAGE(Y7:AB7),"-")</f>
        <v>-</v>
      </c>
      <c r="AD7" s="183"/>
      <c r="AE7" s="35"/>
      <c r="AF7" s="36"/>
      <c r="AG7" s="184"/>
    </row>
    <row r="8" spans="1:33" ht="26.25" thickBot="1" x14ac:dyDescent="0.3">
      <c r="A8" s="596" t="s">
        <v>294</v>
      </c>
      <c r="B8" s="597"/>
      <c r="C8" s="597"/>
      <c r="D8" s="597"/>
      <c r="E8" s="597"/>
      <c r="F8" s="597"/>
      <c r="G8" s="597"/>
      <c r="H8" s="597"/>
      <c r="I8" s="597"/>
      <c r="J8" s="598"/>
      <c r="K8" s="598"/>
      <c r="L8" s="599"/>
      <c r="M8" s="200" t="str">
        <f>+IFERROR(AVERAGE(M7:M7),".")</f>
        <v>.</v>
      </c>
      <c r="N8" s="161"/>
      <c r="O8" s="365"/>
      <c r="P8" s="757" t="str">
        <f>IFERROR(AVERAGE(P7:P7),"-")</f>
        <v>-</v>
      </c>
      <c r="Q8" s="200" t="str">
        <f>+IFERROR(AVERAGE(Q7:Q7),".")</f>
        <v>.</v>
      </c>
      <c r="R8" s="204"/>
      <c r="S8" s="137"/>
      <c r="T8" s="757" t="str">
        <f>IFERROR(AVERAGE(T7:T7),"-")</f>
        <v>-</v>
      </c>
      <c r="U8" s="200" t="str">
        <f>+IFERROR(AVERAGE(U7:U7),".")</f>
        <v>.</v>
      </c>
      <c r="V8" s="204"/>
      <c r="W8" s="137"/>
      <c r="X8" s="757" t="str">
        <f t="shared" ref="X8:AC8" si="0">IFERROR(AVERAGE(X7:X7),"-")</f>
        <v>-</v>
      </c>
      <c r="Y8" s="192" t="str">
        <f t="shared" si="0"/>
        <v>-</v>
      </c>
      <c r="Z8" s="193" t="str">
        <f t="shared" si="0"/>
        <v>-</v>
      </c>
      <c r="AA8" s="193" t="str">
        <f t="shared" si="0"/>
        <v>-</v>
      </c>
      <c r="AB8" s="59" t="str">
        <f t="shared" si="0"/>
        <v>-</v>
      </c>
      <c r="AC8" s="719" t="str">
        <f t="shared" si="0"/>
        <v>-</v>
      </c>
      <c r="AD8" s="187"/>
      <c r="AE8" s="188"/>
      <c r="AF8" s="189"/>
      <c r="AG8" s="190"/>
    </row>
    <row r="9" spans="1:33" ht="27" thickBot="1" x14ac:dyDescent="0.3">
      <c r="A9" s="29"/>
      <c r="B9" s="29"/>
      <c r="C9" s="29"/>
      <c r="D9" s="29"/>
      <c r="E9" s="29"/>
      <c r="F9" s="38"/>
      <c r="G9" s="29"/>
      <c r="H9" s="29"/>
      <c r="I9" s="29"/>
      <c r="J9" s="29"/>
      <c r="K9" s="29"/>
      <c r="L9" s="29"/>
      <c r="M9" s="203"/>
      <c r="N9" s="202"/>
      <c r="O9" s="167" t="s">
        <v>431</v>
      </c>
      <c r="P9" s="758"/>
      <c r="Q9" s="201"/>
      <c r="R9" s="202"/>
      <c r="S9" s="167" t="s">
        <v>297</v>
      </c>
      <c r="T9" s="758"/>
      <c r="U9" s="201"/>
      <c r="V9" s="202"/>
      <c r="W9" s="167" t="s">
        <v>492</v>
      </c>
      <c r="X9" s="758"/>
      <c r="Y9" s="194"/>
      <c r="Z9" s="195"/>
      <c r="AA9" s="196"/>
      <c r="AB9" s="180" t="s">
        <v>295</v>
      </c>
      <c r="AC9" s="720"/>
      <c r="AD9" s="29"/>
      <c r="AE9" s="29"/>
      <c r="AF9" s="29"/>
      <c r="AG9" s="29"/>
    </row>
  </sheetData>
  <mergeCells count="35">
    <mergeCell ref="O5:O6"/>
    <mergeCell ref="N5:N6"/>
    <mergeCell ref="A1:B1"/>
    <mergeCell ref="C1:AD1"/>
    <mergeCell ref="I5:I6"/>
    <mergeCell ref="S5:S6"/>
    <mergeCell ref="V5:V6"/>
    <mergeCell ref="W5:W6"/>
    <mergeCell ref="Y5:AC5"/>
    <mergeCell ref="P5:P6"/>
    <mergeCell ref="T5:T6"/>
    <mergeCell ref="X5:X6"/>
    <mergeCell ref="J5:J6"/>
    <mergeCell ref="K5:K6"/>
    <mergeCell ref="AE1:AG2"/>
    <mergeCell ref="A2:B3"/>
    <mergeCell ref="C2:AD3"/>
    <mergeCell ref="AE3:AG3"/>
    <mergeCell ref="L5:L6"/>
    <mergeCell ref="A4:D4"/>
    <mergeCell ref="A5:A6"/>
    <mergeCell ref="B5:B6"/>
    <mergeCell ref="C5:C6"/>
    <mergeCell ref="D5:D6"/>
    <mergeCell ref="E5:E6"/>
    <mergeCell ref="F5:F6"/>
    <mergeCell ref="AD5:AG5"/>
    <mergeCell ref="R5:R6"/>
    <mergeCell ref="G5:G6"/>
    <mergeCell ref="H5:H6"/>
    <mergeCell ref="AC8:AC9"/>
    <mergeCell ref="A8:L8"/>
    <mergeCell ref="P8:P9"/>
    <mergeCell ref="T8:T9"/>
    <mergeCell ref="X8:X9"/>
  </mergeCells>
  <conditionalFormatting sqref="AC8 Y7:AC7">
    <cfRule type="cellIs" dxfId="5" priority="1" operator="lessThan">
      <formula>0.6</formula>
    </cfRule>
    <cfRule type="cellIs" dxfId="4" priority="2" operator="between">
      <formula>60%</formula>
      <formula>79%</formula>
    </cfRule>
    <cfRule type="cellIs" dxfId="3" priority="3" operator="between">
      <formula>80%</formula>
      <formula>100%</formula>
    </cfRule>
  </conditionalFormatting>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G9"/>
  <sheetViews>
    <sheetView topLeftCell="D1" zoomScale="70" zoomScaleNormal="70" workbookViewId="0">
      <selection activeCell="N7" sqref="N7:O7"/>
    </sheetView>
  </sheetViews>
  <sheetFormatPr baseColWidth="10" defaultRowHeight="15" x14ac:dyDescent="0.25"/>
  <cols>
    <col min="1" max="1" width="21.42578125" customWidth="1"/>
    <col min="2" max="2" width="29.140625" customWidth="1"/>
    <col min="3" max="3" width="38.7109375" customWidth="1"/>
    <col min="4" max="4" width="31" customWidth="1"/>
    <col min="5" max="5" width="20.7109375" customWidth="1"/>
    <col min="6" max="6" width="13.28515625" customWidth="1"/>
    <col min="7" max="7" width="20" customWidth="1"/>
    <col min="8" max="8" width="25.28515625" customWidth="1"/>
    <col min="9" max="11" width="14.42578125" customWidth="1"/>
    <col min="12" max="12" width="13.7109375" customWidth="1"/>
    <col min="13" max="13" width="19.42578125" customWidth="1"/>
    <col min="14" max="14" width="33.28515625" customWidth="1"/>
    <col min="15" max="15" width="35.42578125" customWidth="1"/>
    <col min="16" max="16" width="26.7109375" customWidth="1"/>
    <col min="17" max="17" width="19.42578125" hidden="1" customWidth="1"/>
    <col min="18" max="19" width="33.28515625" hidden="1" customWidth="1"/>
    <col min="20" max="20" width="24.85546875" hidden="1" customWidth="1"/>
    <col min="21" max="21" width="19.42578125" hidden="1" customWidth="1"/>
    <col min="22" max="23" width="33.28515625" hidden="1" customWidth="1"/>
    <col min="24" max="24" width="28.42578125" hidden="1" customWidth="1"/>
    <col min="25" max="29" width="17.7109375" customWidth="1"/>
    <col min="30" max="33" width="26.5703125" customWidth="1"/>
  </cols>
  <sheetData>
    <row r="1" spans="1:33" ht="75.75" customHeight="1" x14ac:dyDescent="0.25">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5">
      <c r="A2" s="593" t="s">
        <v>628</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5">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629</v>
      </c>
      <c r="AF3" s="613"/>
      <c r="AG3" s="613"/>
    </row>
    <row r="4" spans="1:33" ht="15.75" thickBot="1" x14ac:dyDescent="0.3">
      <c r="A4" s="627" t="s">
        <v>193</v>
      </c>
      <c r="B4" s="627"/>
      <c r="C4" s="627"/>
      <c r="D4" s="627"/>
      <c r="E4" s="29"/>
      <c r="F4" s="38"/>
      <c r="G4" s="29"/>
      <c r="H4" s="29"/>
      <c r="I4" s="29"/>
      <c r="J4" s="29"/>
      <c r="K4" s="29"/>
      <c r="L4" s="29"/>
      <c r="M4" s="56"/>
      <c r="N4" s="29"/>
      <c r="O4" s="29"/>
      <c r="P4" s="29"/>
      <c r="Q4" s="56"/>
      <c r="R4" s="29"/>
      <c r="S4" s="29"/>
      <c r="T4" s="29"/>
      <c r="U4" s="56"/>
      <c r="V4" s="29"/>
      <c r="W4" s="29"/>
      <c r="X4" s="29"/>
      <c r="Y4" s="29"/>
      <c r="Z4" s="29"/>
      <c r="AA4" s="29"/>
      <c r="AB4" s="29"/>
      <c r="AC4" s="29"/>
      <c r="AD4" s="29"/>
      <c r="AE4" s="29"/>
      <c r="AF4" s="29"/>
      <c r="AG4" s="29"/>
    </row>
    <row r="5" spans="1:33" ht="57" customHeight="1" x14ac:dyDescent="0.25">
      <c r="A5" s="606" t="s">
        <v>1</v>
      </c>
      <c r="B5" s="594" t="s">
        <v>3</v>
      </c>
      <c r="C5" s="594" t="s">
        <v>194</v>
      </c>
      <c r="D5" s="594" t="s">
        <v>195</v>
      </c>
      <c r="E5" s="594" t="s">
        <v>196</v>
      </c>
      <c r="F5" s="642" t="s">
        <v>231</v>
      </c>
      <c r="G5" s="594" t="s">
        <v>228</v>
      </c>
      <c r="H5" s="594" t="s">
        <v>227</v>
      </c>
      <c r="I5" s="594" t="s">
        <v>8</v>
      </c>
      <c r="J5" s="594" t="s">
        <v>495</v>
      </c>
      <c r="K5" s="594" t="s">
        <v>519</v>
      </c>
      <c r="L5" s="640" t="s">
        <v>9</v>
      </c>
      <c r="M5" s="199" t="s">
        <v>339</v>
      </c>
      <c r="N5" s="676" t="s">
        <v>421</v>
      </c>
      <c r="O5" s="676" t="s">
        <v>423</v>
      </c>
      <c r="P5" s="608" t="s">
        <v>488</v>
      </c>
      <c r="Q5" s="199" t="s">
        <v>339</v>
      </c>
      <c r="R5" s="676" t="s">
        <v>421</v>
      </c>
      <c r="S5" s="676" t="s">
        <v>423</v>
      </c>
      <c r="T5" s="608" t="s">
        <v>494</v>
      </c>
      <c r="U5" s="199" t="s">
        <v>339</v>
      </c>
      <c r="V5" s="676" t="s">
        <v>421</v>
      </c>
      <c r="W5" s="676" t="s">
        <v>423</v>
      </c>
      <c r="X5" s="608" t="s">
        <v>493</v>
      </c>
      <c r="Y5" s="652" t="s">
        <v>11</v>
      </c>
      <c r="Z5" s="653"/>
      <c r="AA5" s="653"/>
      <c r="AB5" s="653"/>
      <c r="AC5" s="654"/>
      <c r="AD5" s="624" t="s">
        <v>197</v>
      </c>
      <c r="AE5" s="625"/>
      <c r="AF5" s="625"/>
      <c r="AG5" s="626"/>
    </row>
    <row r="6" spans="1:33" ht="57" customHeight="1" x14ac:dyDescent="0.25">
      <c r="A6" s="607"/>
      <c r="B6" s="535"/>
      <c r="C6" s="535"/>
      <c r="D6" s="535"/>
      <c r="E6" s="535"/>
      <c r="F6" s="643"/>
      <c r="G6" s="535"/>
      <c r="H6" s="535"/>
      <c r="I6" s="535"/>
      <c r="J6" s="535"/>
      <c r="K6" s="535"/>
      <c r="L6" s="641"/>
      <c r="M6" s="163" t="s">
        <v>299</v>
      </c>
      <c r="N6" s="677"/>
      <c r="O6" s="677"/>
      <c r="P6" s="609"/>
      <c r="Q6" s="163" t="s">
        <v>288</v>
      </c>
      <c r="R6" s="677"/>
      <c r="S6" s="677"/>
      <c r="T6" s="609"/>
      <c r="U6" s="163" t="s">
        <v>313</v>
      </c>
      <c r="V6" s="677"/>
      <c r="W6" s="677"/>
      <c r="X6" s="609"/>
      <c r="Y6" s="176" t="s">
        <v>198</v>
      </c>
      <c r="Z6" s="5" t="s">
        <v>199</v>
      </c>
      <c r="AA6" s="5" t="s">
        <v>200</v>
      </c>
      <c r="AB6" s="5" t="s">
        <v>201</v>
      </c>
      <c r="AC6" s="177" t="s">
        <v>20</v>
      </c>
      <c r="AD6" s="181" t="s">
        <v>202</v>
      </c>
      <c r="AE6" s="33" t="s">
        <v>203</v>
      </c>
      <c r="AF6" s="33" t="s">
        <v>204</v>
      </c>
      <c r="AG6" s="182" t="s">
        <v>205</v>
      </c>
    </row>
    <row r="7" spans="1:33" ht="150.75" customHeight="1" x14ac:dyDescent="0.25">
      <c r="A7" s="324" t="s">
        <v>167</v>
      </c>
      <c r="B7" s="321" t="s">
        <v>332</v>
      </c>
      <c r="C7" s="321" t="s">
        <v>333</v>
      </c>
      <c r="D7" s="321" t="s">
        <v>334</v>
      </c>
      <c r="E7" s="321" t="s">
        <v>223</v>
      </c>
      <c r="F7" s="328">
        <v>1</v>
      </c>
      <c r="G7" s="160" t="s">
        <v>342</v>
      </c>
      <c r="H7" s="160" t="s">
        <v>343</v>
      </c>
      <c r="I7" s="82">
        <v>1</v>
      </c>
      <c r="J7" s="223" t="s">
        <v>497</v>
      </c>
      <c r="K7" s="366" t="s">
        <v>704</v>
      </c>
      <c r="L7" s="205" t="s">
        <v>174</v>
      </c>
      <c r="M7" s="391">
        <v>1</v>
      </c>
      <c r="N7" s="78" t="s">
        <v>422</v>
      </c>
      <c r="O7" s="383" t="s">
        <v>687</v>
      </c>
      <c r="P7" s="390">
        <f>+M7</f>
        <v>1</v>
      </c>
      <c r="Q7" s="172" t="s">
        <v>428</v>
      </c>
      <c r="R7" s="78" t="s">
        <v>422</v>
      </c>
      <c r="S7" s="78"/>
      <c r="T7" s="212" t="str">
        <f>+Q7</f>
        <v>-</v>
      </c>
      <c r="U7" s="172" t="s">
        <v>428</v>
      </c>
      <c r="V7" s="78" t="s">
        <v>422</v>
      </c>
      <c r="W7" s="78"/>
      <c r="X7" s="212" t="str">
        <f>+U7</f>
        <v>-</v>
      </c>
      <c r="Y7" s="178" t="s">
        <v>226</v>
      </c>
      <c r="Z7" s="26">
        <f>IFERROR((P7*100%)/$I$7,"-")</f>
        <v>1</v>
      </c>
      <c r="AA7" s="26" t="str">
        <f>IFERROR((T7*100%)/$I$7,"-")</f>
        <v>-</v>
      </c>
      <c r="AB7" s="26" t="str">
        <f>IFERROR((X7*100%)/$I$7,"-")</f>
        <v>-</v>
      </c>
      <c r="AC7" s="179">
        <f>IFERROR(AVERAGE(Y7:AB7),"-")</f>
        <v>1</v>
      </c>
      <c r="AD7" s="183"/>
      <c r="AE7" s="35"/>
      <c r="AF7" s="36"/>
      <c r="AG7" s="184"/>
    </row>
    <row r="8" spans="1:33" ht="26.25" thickBot="1" x14ac:dyDescent="0.3">
      <c r="A8" s="596" t="s">
        <v>294</v>
      </c>
      <c r="B8" s="597"/>
      <c r="C8" s="597"/>
      <c r="D8" s="597"/>
      <c r="E8" s="597"/>
      <c r="F8" s="597"/>
      <c r="G8" s="597"/>
      <c r="H8" s="597"/>
      <c r="I8" s="597"/>
      <c r="J8" s="598"/>
      <c r="K8" s="598"/>
      <c r="L8" s="599"/>
      <c r="M8" s="392">
        <f>+IFERROR(AVERAGE(M7:M7),"-")</f>
        <v>1</v>
      </c>
      <c r="N8" s="204"/>
      <c r="O8" s="382"/>
      <c r="P8" s="771">
        <f>IFERROR(AVERAGE(P7:P7),"-")</f>
        <v>1</v>
      </c>
      <c r="Q8" s="213" t="str">
        <f>+IFERROR(AVERAGE(Q7:Q7),"-")</f>
        <v>-</v>
      </c>
      <c r="R8" s="204"/>
      <c r="S8" s="136"/>
      <c r="T8" s="757" t="str">
        <f>IFERROR(AVERAGE(Q7:Q7),"-")</f>
        <v>-</v>
      </c>
      <c r="U8" s="213" t="str">
        <f>+IFERROR(AVERAGE(U7:U7),"-")</f>
        <v>-</v>
      </c>
      <c r="V8" s="204"/>
      <c r="W8" s="136"/>
      <c r="X8" s="773" t="str">
        <f t="shared" ref="X8:AC8" si="0">IFERROR(AVERAGE(X7:X7),"-")</f>
        <v>-</v>
      </c>
      <c r="Y8" s="192" t="str">
        <f t="shared" si="0"/>
        <v>-</v>
      </c>
      <c r="Z8" s="193">
        <f t="shared" si="0"/>
        <v>1</v>
      </c>
      <c r="AA8" s="193" t="str">
        <f t="shared" si="0"/>
        <v>-</v>
      </c>
      <c r="AB8" s="59" t="str">
        <f t="shared" si="0"/>
        <v>-</v>
      </c>
      <c r="AC8" s="719">
        <f t="shared" si="0"/>
        <v>1</v>
      </c>
      <c r="AD8" s="187"/>
      <c r="AE8" s="188"/>
      <c r="AF8" s="189"/>
      <c r="AG8" s="190"/>
    </row>
    <row r="9" spans="1:33" ht="27" thickBot="1" x14ac:dyDescent="0.3">
      <c r="A9" s="29"/>
      <c r="B9" s="29"/>
      <c r="C9" s="29"/>
      <c r="D9" s="29"/>
      <c r="E9" s="29"/>
      <c r="F9" s="38"/>
      <c r="G9" s="29"/>
      <c r="H9" s="29"/>
      <c r="I9" s="29"/>
      <c r="J9" s="29"/>
      <c r="K9" s="29"/>
      <c r="L9" s="29"/>
      <c r="M9" s="203"/>
      <c r="N9" s="202"/>
      <c r="O9" s="395" t="s">
        <v>425</v>
      </c>
      <c r="P9" s="772"/>
      <c r="Q9" s="201"/>
      <c r="R9" s="202"/>
      <c r="S9" s="167" t="s">
        <v>429</v>
      </c>
      <c r="T9" s="758"/>
      <c r="U9" s="201"/>
      <c r="V9" s="202"/>
      <c r="W9" s="167" t="s">
        <v>430</v>
      </c>
      <c r="X9" s="774"/>
      <c r="Y9" s="194"/>
      <c r="Z9" s="195"/>
      <c r="AA9" s="196"/>
      <c r="AB9" s="180" t="s">
        <v>295</v>
      </c>
      <c r="AC9" s="720"/>
      <c r="AD9" s="29"/>
      <c r="AE9" s="29"/>
      <c r="AF9" s="29"/>
      <c r="AG9" s="29"/>
    </row>
  </sheetData>
  <mergeCells count="35">
    <mergeCell ref="A4:D4"/>
    <mergeCell ref="A5:A6"/>
    <mergeCell ref="B5:B6"/>
    <mergeCell ref="C5:C6"/>
    <mergeCell ref="D5:D6"/>
    <mergeCell ref="A1:B1"/>
    <mergeCell ref="C1:AD1"/>
    <mergeCell ref="AE1:AG2"/>
    <mergeCell ref="A2:B3"/>
    <mergeCell ref="C2:AD3"/>
    <mergeCell ref="AE3:AG3"/>
    <mergeCell ref="W5:W6"/>
    <mergeCell ref="Y5:AC5"/>
    <mergeCell ref="AD5:AG5"/>
    <mergeCell ref="AC8:AC9"/>
    <mergeCell ref="X8:X9"/>
    <mergeCell ref="X5:X6"/>
    <mergeCell ref="A8:L8"/>
    <mergeCell ref="P8:P9"/>
    <mergeCell ref="T8:T9"/>
    <mergeCell ref="R5:R6"/>
    <mergeCell ref="S5:S6"/>
    <mergeCell ref="E5:E6"/>
    <mergeCell ref="F5:F6"/>
    <mergeCell ref="V5:V6"/>
    <mergeCell ref="G5:G6"/>
    <mergeCell ref="H5:H6"/>
    <mergeCell ref="I5:I6"/>
    <mergeCell ref="O5:O6"/>
    <mergeCell ref="N5:N6"/>
    <mergeCell ref="L5:L6"/>
    <mergeCell ref="P5:P6"/>
    <mergeCell ref="T5:T6"/>
    <mergeCell ref="J5:J6"/>
    <mergeCell ref="K5:K6"/>
  </mergeCells>
  <conditionalFormatting sqref="AC8 Y7:AC7">
    <cfRule type="cellIs" dxfId="2" priority="1" operator="lessThan">
      <formula>0.6</formula>
    </cfRule>
    <cfRule type="cellIs" dxfId="1" priority="2" operator="between">
      <formula>60%</formula>
      <formula>79%</formula>
    </cfRule>
    <cfRule type="cellIs" dxfId="0" priority="3" operator="between">
      <formula>80%</formula>
      <formula>100%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4"/>
  <dimension ref="A1:R29"/>
  <sheetViews>
    <sheetView topLeftCell="A7" zoomScale="70" zoomScaleNormal="70" workbookViewId="0">
      <selection activeCell="C14" sqref="C14"/>
    </sheetView>
  </sheetViews>
  <sheetFormatPr baseColWidth="10" defaultRowHeight="12.75" x14ac:dyDescent="0.2"/>
  <cols>
    <col min="1" max="1" width="37.5703125" style="2" customWidth="1"/>
    <col min="2" max="2" width="34.28515625" style="2" customWidth="1"/>
    <col min="3" max="3" width="35.140625" style="2" customWidth="1"/>
    <col min="4" max="4" width="31.85546875" style="3" customWidth="1"/>
    <col min="5" max="5" width="14.42578125" style="3" customWidth="1"/>
    <col min="6" max="6" width="25.5703125" style="3" hidden="1" customWidth="1"/>
    <col min="7" max="7" width="26.28515625" style="3" hidden="1" customWidth="1"/>
    <col min="8" max="8" width="16.140625" style="3" hidden="1" customWidth="1"/>
    <col min="9" max="9" width="19.42578125" style="2" customWidth="1"/>
    <col min="10" max="10" width="24.42578125" style="2" customWidth="1"/>
    <col min="11" max="11" width="19.140625" style="2" customWidth="1"/>
    <col min="12" max="12" width="20" style="2" customWidth="1"/>
    <col min="13" max="13" width="19.28515625" style="2" customWidth="1"/>
    <col min="14" max="14" width="22.140625" style="2" hidden="1" customWidth="1"/>
    <col min="15" max="15" width="17.85546875" style="2" hidden="1" customWidth="1"/>
    <col min="16" max="16" width="19.140625" style="2" hidden="1" customWidth="1"/>
    <col min="17" max="17" width="18.7109375" style="2" hidden="1" customWidth="1"/>
    <col min="18" max="18" width="26.42578125" style="2" hidden="1" customWidth="1"/>
    <col min="19" max="19" width="11.42578125" style="2"/>
    <col min="20" max="20" width="11.42578125" style="2" customWidth="1"/>
    <col min="21" max="16384" width="11.42578125" style="2"/>
  </cols>
  <sheetData>
    <row r="1" spans="1:18" ht="53.25" customHeight="1" x14ac:dyDescent="0.2">
      <c r="A1" s="1"/>
      <c r="B1" s="522" t="s">
        <v>0</v>
      </c>
      <c r="C1" s="523"/>
      <c r="D1" s="523"/>
      <c r="E1" s="523"/>
      <c r="F1" s="523"/>
      <c r="G1" s="523"/>
      <c r="H1" s="523"/>
      <c r="I1" s="523"/>
      <c r="J1" s="523"/>
      <c r="K1" s="523"/>
      <c r="L1" s="523"/>
      <c r="M1" s="523"/>
      <c r="N1" s="523"/>
      <c r="O1" s="523"/>
      <c r="P1" s="523"/>
      <c r="Q1" s="523"/>
      <c r="R1" s="523"/>
    </row>
    <row r="2" spans="1:18" ht="21" customHeight="1" x14ac:dyDescent="0.2">
      <c r="A2" s="524"/>
      <c r="B2" s="526" t="s">
        <v>191</v>
      </c>
      <c r="C2" s="527"/>
      <c r="D2" s="527"/>
      <c r="E2" s="527"/>
      <c r="F2" s="527"/>
      <c r="G2" s="527"/>
      <c r="H2" s="527"/>
      <c r="I2" s="527"/>
      <c r="J2" s="527"/>
      <c r="K2" s="527"/>
      <c r="L2" s="527"/>
      <c r="M2" s="527"/>
      <c r="N2" s="527"/>
      <c r="O2" s="527"/>
      <c r="P2" s="527"/>
      <c r="Q2" s="527"/>
      <c r="R2" s="527"/>
    </row>
    <row r="3" spans="1:18" ht="16.5" customHeight="1" thickBot="1" x14ac:dyDescent="0.25">
      <c r="A3" s="525"/>
      <c r="B3" s="528"/>
      <c r="C3" s="529"/>
      <c r="D3" s="529"/>
      <c r="E3" s="529"/>
      <c r="F3" s="529"/>
      <c r="G3" s="529"/>
      <c r="H3" s="529"/>
      <c r="I3" s="529"/>
      <c r="J3" s="529"/>
      <c r="K3" s="529"/>
      <c r="L3" s="529"/>
      <c r="M3" s="529"/>
      <c r="N3" s="529"/>
      <c r="O3" s="529"/>
      <c r="P3" s="529"/>
      <c r="Q3" s="529"/>
      <c r="R3" s="529"/>
    </row>
    <row r="4" spans="1:18" ht="9.75" customHeight="1" x14ac:dyDescent="0.25">
      <c r="A4" s="530"/>
      <c r="B4" s="530"/>
      <c r="C4" s="530"/>
    </row>
    <row r="5" spans="1:18" ht="57" customHeight="1" x14ac:dyDescent="0.2">
      <c r="A5" s="534" t="s">
        <v>1</v>
      </c>
      <c r="B5" s="534" t="s">
        <v>2</v>
      </c>
      <c r="C5" s="534" t="s">
        <v>196</v>
      </c>
      <c r="D5" s="534" t="s">
        <v>4</v>
      </c>
      <c r="E5" s="534" t="s">
        <v>5</v>
      </c>
      <c r="F5" s="534" t="s">
        <v>6</v>
      </c>
      <c r="G5" s="534" t="s">
        <v>7</v>
      </c>
      <c r="H5" s="534" t="s">
        <v>8</v>
      </c>
      <c r="I5" s="534" t="s">
        <v>9</v>
      </c>
      <c r="J5" s="557" t="s">
        <v>10</v>
      </c>
      <c r="K5" s="557"/>
      <c r="L5" s="557"/>
      <c r="M5" s="557"/>
      <c r="N5" s="531" t="s">
        <v>11</v>
      </c>
      <c r="O5" s="532"/>
      <c r="P5" s="532"/>
      <c r="Q5" s="532"/>
      <c r="R5" s="533"/>
    </row>
    <row r="6" spans="1:18" ht="63" customHeight="1" x14ac:dyDescent="0.2">
      <c r="A6" s="535"/>
      <c r="B6" s="535"/>
      <c r="C6" s="535"/>
      <c r="D6" s="535"/>
      <c r="E6" s="535"/>
      <c r="F6" s="535"/>
      <c r="G6" s="535"/>
      <c r="H6" s="535"/>
      <c r="I6" s="535"/>
      <c r="J6" s="4" t="s">
        <v>606</v>
      </c>
      <c r="K6" s="4" t="s">
        <v>558</v>
      </c>
      <c r="L6" s="4" t="s">
        <v>604</v>
      </c>
      <c r="M6" s="4" t="s">
        <v>605</v>
      </c>
      <c r="N6" s="5" t="s">
        <v>16</v>
      </c>
      <c r="O6" s="5" t="s">
        <v>17</v>
      </c>
      <c r="P6" s="5" t="s">
        <v>18</v>
      </c>
      <c r="Q6" s="5" t="s">
        <v>19</v>
      </c>
      <c r="R6" s="5" t="s">
        <v>20</v>
      </c>
    </row>
    <row r="7" spans="1:18" ht="90.75" customHeight="1" x14ac:dyDescent="0.2">
      <c r="A7" s="46" t="s">
        <v>21</v>
      </c>
      <c r="B7" s="46" t="s">
        <v>22</v>
      </c>
      <c r="C7" s="46" t="s">
        <v>23</v>
      </c>
      <c r="D7" s="47" t="s">
        <v>24</v>
      </c>
      <c r="E7" s="48">
        <v>0.6</v>
      </c>
      <c r="F7" s="6" t="s">
        <v>414</v>
      </c>
      <c r="G7" s="6" t="s">
        <v>305</v>
      </c>
      <c r="H7" s="67">
        <v>0.4</v>
      </c>
      <c r="I7" s="47" t="s">
        <v>27</v>
      </c>
      <c r="J7" s="378" t="str">
        <f>+'Programa Humanizacion'!AK15</f>
        <v>-</v>
      </c>
      <c r="K7" s="26" t="str">
        <f>+'Programa Humanizacion'!AU12</f>
        <v>-</v>
      </c>
      <c r="L7" s="378" t="str">
        <f>+'Programa Humanizacion'!AS12</f>
        <v>-</v>
      </c>
      <c r="M7" s="378" t="str">
        <f>+'Programa Humanizacion'!AT12</f>
        <v>-</v>
      </c>
      <c r="N7" s="39"/>
      <c r="O7" s="39">
        <f>IFERROR(IF(K7&gt;=E7,1,(K7*100%)/0),"-")</f>
        <v>1</v>
      </c>
      <c r="P7" s="39">
        <f>IFERROR(IF(L7&gt;=0.4,1,(L7*100%)/0.4),"-")</f>
        <v>1</v>
      </c>
      <c r="Q7" s="39">
        <f>IFERROR(IF(M7&gt;=0.4,1,(M7*100%)/0.4),"-")</f>
        <v>1</v>
      </c>
      <c r="R7" s="39">
        <f>IFERROR(AVERAGE(N7:Q7),"-")</f>
        <v>1</v>
      </c>
    </row>
    <row r="8" spans="1:18" ht="81" customHeight="1" x14ac:dyDescent="0.2">
      <c r="A8" s="66" t="s">
        <v>34</v>
      </c>
      <c r="B8" s="66" t="s">
        <v>35</v>
      </c>
      <c r="C8" s="66" t="s">
        <v>36</v>
      </c>
      <c r="D8" s="66" t="s">
        <v>37</v>
      </c>
      <c r="E8" s="67">
        <v>0.55000000000000004</v>
      </c>
      <c r="F8" s="6" t="s">
        <v>38</v>
      </c>
      <c r="G8" s="6" t="s">
        <v>358</v>
      </c>
      <c r="H8" s="6">
        <v>0.35</v>
      </c>
      <c r="I8" s="66" t="s">
        <v>300</v>
      </c>
      <c r="J8" s="378">
        <f>+'Modelo Atención'!AJ11</f>
        <v>0</v>
      </c>
      <c r="K8" s="378" t="str">
        <f>+'Modelo Atención'!AW8:AW9</f>
        <v>-</v>
      </c>
      <c r="L8" s="450" t="str">
        <f>+IFERROR('Modelo Atención'!AG8,"-")</f>
        <v>-</v>
      </c>
      <c r="M8" s="450" t="str">
        <f>+'Modelo Atención'!AV8</f>
        <v>-</v>
      </c>
      <c r="N8" s="39"/>
      <c r="O8" s="39"/>
      <c r="P8" s="39" t="str">
        <f t="shared" ref="P8:P16" si="0">IFERROR((L8*100%)/H8,"-")</f>
        <v>-</v>
      </c>
      <c r="Q8" s="39" t="str">
        <f t="shared" ref="Q8:Q14" si="1">IFERROR((M8*100%)/H8,"-")</f>
        <v>-</v>
      </c>
      <c r="R8" s="39" t="str">
        <f t="shared" ref="R8:R28" si="2">IFERROR(AVERAGE(N8:Q8),"-")</f>
        <v>-</v>
      </c>
    </row>
    <row r="9" spans="1:18" ht="56.25" customHeight="1" x14ac:dyDescent="0.2">
      <c r="A9" s="541" t="s">
        <v>48</v>
      </c>
      <c r="B9" s="536" t="s">
        <v>49</v>
      </c>
      <c r="C9" s="536" t="s">
        <v>50</v>
      </c>
      <c r="D9" s="11" t="s">
        <v>51</v>
      </c>
      <c r="E9" s="11" t="s">
        <v>52</v>
      </c>
      <c r="F9" s="11"/>
      <c r="G9" s="11" t="s">
        <v>309</v>
      </c>
      <c r="H9" s="6" t="s">
        <v>311</v>
      </c>
      <c r="I9" s="11" t="s">
        <v>413</v>
      </c>
      <c r="J9" s="74" t="s">
        <v>226</v>
      </c>
      <c r="K9" s="397" t="s">
        <v>226</v>
      </c>
      <c r="L9" s="74" t="s">
        <v>226</v>
      </c>
      <c r="M9" s="10" t="str">
        <f>+IFERROR(Acreditación!X8,"-")</f>
        <v>-</v>
      </c>
      <c r="N9" s="39" t="str">
        <f t="shared" ref="N9:N11" si="3">IFERROR((J9*100%)/H9,"-")</f>
        <v>-</v>
      </c>
      <c r="O9" s="39" t="str">
        <f t="shared" ref="O9:O16" si="4">IFERROR((K9*100%)/H9,"-")</f>
        <v>-</v>
      </c>
      <c r="P9" s="39" t="str">
        <f t="shared" si="0"/>
        <v>-</v>
      </c>
      <c r="Q9" s="39">
        <f>+IFERROR(IF(M9&gt;=1.11,100%,0)*AND(IF(M9&lt;=1.19,100%,0)),"-")</f>
        <v>0</v>
      </c>
      <c r="R9" s="39">
        <f t="shared" si="2"/>
        <v>0</v>
      </c>
    </row>
    <row r="10" spans="1:18" ht="51.75" customHeight="1" x14ac:dyDescent="0.2">
      <c r="A10" s="543"/>
      <c r="B10" s="538"/>
      <c r="C10" s="538"/>
      <c r="D10" s="11" t="s">
        <v>53</v>
      </c>
      <c r="E10" s="6">
        <v>0.7</v>
      </c>
      <c r="F10" s="11"/>
      <c r="G10" s="11"/>
      <c r="H10" s="6"/>
      <c r="I10" s="11" t="s">
        <v>54</v>
      </c>
      <c r="J10" s="378" t="e">
        <f>+'Seguridad Paciente'!AR16</f>
        <v>#DIV/0!</v>
      </c>
      <c r="K10" s="26" t="str">
        <f>+'Seguridad Paciente'!BE11</f>
        <v>-</v>
      </c>
      <c r="L10" s="450" t="str">
        <f>+'Seguridad Paciente'!BC11</f>
        <v>-</v>
      </c>
      <c r="M10" s="474" t="str">
        <f>+'Seguridad Paciente'!BD11</f>
        <v>-</v>
      </c>
      <c r="N10" s="39" t="str">
        <f t="shared" si="3"/>
        <v>-</v>
      </c>
      <c r="O10" s="39" t="str">
        <f t="shared" si="4"/>
        <v>-</v>
      </c>
      <c r="P10" s="39" t="str">
        <f t="shared" si="0"/>
        <v>-</v>
      </c>
      <c r="Q10" s="39" t="str">
        <f t="shared" si="1"/>
        <v>-</v>
      </c>
      <c r="R10" s="39" t="str">
        <f t="shared" si="2"/>
        <v>-</v>
      </c>
    </row>
    <row r="11" spans="1:18" ht="51" x14ac:dyDescent="0.2">
      <c r="A11" s="66" t="s">
        <v>55</v>
      </c>
      <c r="B11" s="66" t="s">
        <v>56</v>
      </c>
      <c r="C11" s="66" t="s">
        <v>57</v>
      </c>
      <c r="D11" s="66" t="s">
        <v>58</v>
      </c>
      <c r="E11" s="67">
        <v>0.6</v>
      </c>
      <c r="F11" s="6" t="s">
        <v>304</v>
      </c>
      <c r="G11" s="6" t="s">
        <v>359</v>
      </c>
      <c r="H11" s="6">
        <v>0.4</v>
      </c>
      <c r="I11" s="66" t="s">
        <v>300</v>
      </c>
      <c r="J11" s="389">
        <f>+'Alta Complejidad'!CF13</f>
        <v>0</v>
      </c>
      <c r="K11" s="26" t="str">
        <f>+'Alta Complejidad'!AS8</f>
        <v>-</v>
      </c>
      <c r="L11" s="474" t="str">
        <f>+'Alta Complejidad'!DJ8</f>
        <v>-</v>
      </c>
      <c r="M11" s="483" t="str">
        <f>+IFERROR('Alta Complejidad'!DG8,"-")</f>
        <v>-</v>
      </c>
      <c r="N11" s="39">
        <f t="shared" si="3"/>
        <v>0</v>
      </c>
      <c r="O11" s="39" t="str">
        <f t="shared" si="4"/>
        <v>-</v>
      </c>
      <c r="P11" s="39" t="str">
        <f t="shared" si="0"/>
        <v>-</v>
      </c>
      <c r="Q11" s="39" t="str">
        <f t="shared" si="1"/>
        <v>-</v>
      </c>
      <c r="R11" s="39">
        <f t="shared" si="2"/>
        <v>0</v>
      </c>
    </row>
    <row r="12" spans="1:18" ht="66.75" customHeight="1" x14ac:dyDescent="0.2">
      <c r="A12" s="541" t="s">
        <v>76</v>
      </c>
      <c r="B12" s="541" t="s">
        <v>77</v>
      </c>
      <c r="C12" s="12" t="s">
        <v>78</v>
      </c>
      <c r="D12" s="11" t="s">
        <v>79</v>
      </c>
      <c r="E12" s="6">
        <v>0.9</v>
      </c>
      <c r="F12" s="11" t="s">
        <v>80</v>
      </c>
      <c r="G12" s="286" t="s">
        <v>559</v>
      </c>
      <c r="H12" s="6">
        <v>1</v>
      </c>
      <c r="I12" s="11" t="s">
        <v>81</v>
      </c>
      <c r="J12" s="378" t="str">
        <f>+PEGIF!AR26</f>
        <v>-</v>
      </c>
      <c r="K12" s="26" t="e">
        <f>+PEGIF!V25</f>
        <v>#DIV/0!</v>
      </c>
      <c r="L12" s="473" t="str">
        <f>+PEGIF!AR26</f>
        <v>-</v>
      </c>
      <c r="M12" s="474" t="str">
        <f>+PEGIF!AS26</f>
        <v>-</v>
      </c>
      <c r="N12" s="39" t="str">
        <f>IFERROR((J12*100%)/H12,"-")</f>
        <v>-</v>
      </c>
      <c r="O12" s="39" t="str">
        <f t="shared" si="4"/>
        <v>-</v>
      </c>
      <c r="P12" s="39" t="str">
        <f t="shared" si="0"/>
        <v>-</v>
      </c>
      <c r="Q12" s="39" t="str">
        <f t="shared" si="1"/>
        <v>-</v>
      </c>
      <c r="R12" s="39" t="str">
        <f t="shared" si="2"/>
        <v>-</v>
      </c>
    </row>
    <row r="13" spans="1:18" ht="53.25" customHeight="1" x14ac:dyDescent="0.2">
      <c r="A13" s="542"/>
      <c r="B13" s="542"/>
      <c r="C13" s="12" t="s">
        <v>82</v>
      </c>
      <c r="D13" s="11" t="s">
        <v>83</v>
      </c>
      <c r="E13" s="6">
        <v>0.8</v>
      </c>
      <c r="F13" s="11" t="s">
        <v>84</v>
      </c>
      <c r="G13" s="11" t="s">
        <v>39</v>
      </c>
      <c r="H13" s="6">
        <v>0.75</v>
      </c>
      <c r="I13" s="11" t="s">
        <v>81</v>
      </c>
      <c r="J13" s="378">
        <f>+Costos!AA11</f>
        <v>0</v>
      </c>
      <c r="K13" s="26">
        <f>+Costos!P10</f>
        <v>0</v>
      </c>
      <c r="L13" s="473">
        <f>+Costos!T11</f>
        <v>0</v>
      </c>
      <c r="M13" s="474">
        <f>+Costos!AB11</f>
        <v>0</v>
      </c>
      <c r="N13" s="39">
        <f t="shared" ref="N13:N14" si="5">IFERROR((J13*100%)/H13,"-")</f>
        <v>0</v>
      </c>
      <c r="O13" s="39">
        <f t="shared" si="4"/>
        <v>0</v>
      </c>
      <c r="P13" s="39">
        <f t="shared" si="0"/>
        <v>0</v>
      </c>
      <c r="Q13" s="39">
        <f t="shared" si="1"/>
        <v>0</v>
      </c>
      <c r="R13" s="39">
        <f t="shared" si="2"/>
        <v>0</v>
      </c>
    </row>
    <row r="14" spans="1:18" ht="75" customHeight="1" x14ac:dyDescent="0.2">
      <c r="A14" s="542"/>
      <c r="B14" s="542"/>
      <c r="C14" s="70" t="s">
        <v>85</v>
      </c>
      <c r="D14" s="70" t="s">
        <v>86</v>
      </c>
      <c r="E14" s="71">
        <v>0.6</v>
      </c>
      <c r="F14" s="11" t="s">
        <v>86</v>
      </c>
      <c r="G14" s="11" t="s">
        <v>356</v>
      </c>
      <c r="H14" s="6">
        <v>0.4</v>
      </c>
      <c r="I14" s="70" t="s">
        <v>89</v>
      </c>
      <c r="J14" s="378" t="str">
        <f>+'Prevención Daño Ant'!AA16</f>
        <v>-</v>
      </c>
      <c r="K14" s="26" t="str">
        <f>+'Prevención Daño Ant'!AC11</f>
        <v>-</v>
      </c>
      <c r="L14" s="450" t="str">
        <f>+IFERROR('Prevención Daño Ant'!T11,"-")</f>
        <v>-</v>
      </c>
      <c r="M14" s="474" t="str">
        <f>+'Prevención Daño Ant'!AB11</f>
        <v>-</v>
      </c>
      <c r="N14" s="39" t="str">
        <f t="shared" si="5"/>
        <v>-</v>
      </c>
      <c r="O14" s="39" t="str">
        <f t="shared" si="4"/>
        <v>-</v>
      </c>
      <c r="P14" s="39" t="str">
        <f t="shared" si="0"/>
        <v>-</v>
      </c>
      <c r="Q14" s="39" t="str">
        <f t="shared" si="1"/>
        <v>-</v>
      </c>
      <c r="R14" s="39" t="str">
        <f t="shared" si="2"/>
        <v>-</v>
      </c>
    </row>
    <row r="15" spans="1:18" ht="39" customHeight="1" x14ac:dyDescent="0.2">
      <c r="A15" s="543"/>
      <c r="B15" s="543"/>
      <c r="C15" s="12" t="s">
        <v>94</v>
      </c>
      <c r="D15" s="11" t="s">
        <v>95</v>
      </c>
      <c r="E15" s="6" t="s">
        <v>96</v>
      </c>
      <c r="F15" s="15" t="s">
        <v>97</v>
      </c>
      <c r="G15" s="15" t="s">
        <v>98</v>
      </c>
      <c r="H15" s="55">
        <v>0.72299999999999998</v>
      </c>
      <c r="I15" s="11" t="s">
        <v>99</v>
      </c>
      <c r="J15" s="74" t="s">
        <v>226</v>
      </c>
      <c r="K15" s="26" t="str">
        <f>+MIPG!BS8</f>
        <v>-</v>
      </c>
      <c r="L15" s="450" t="str">
        <f>+MIPG!AU8</f>
        <v>-</v>
      </c>
      <c r="M15" s="478" t="str">
        <f>+MIPG!BN8</f>
        <v>-</v>
      </c>
      <c r="N15" s="39" t="str">
        <f>IFERROR((J15*100%)/H15,"-")</f>
        <v>-</v>
      </c>
      <c r="O15" s="39" t="str">
        <f t="shared" si="4"/>
        <v>-</v>
      </c>
      <c r="P15" s="39" t="str">
        <f t="shared" si="0"/>
        <v>-</v>
      </c>
      <c r="Q15" s="39">
        <f>IF(M15&gt;H15,1,"-")</f>
        <v>1</v>
      </c>
      <c r="R15" s="39">
        <f t="shared" si="2"/>
        <v>1</v>
      </c>
    </row>
    <row r="16" spans="1:18" ht="100.5" customHeight="1" x14ac:dyDescent="0.2">
      <c r="A16" s="541" t="s">
        <v>101</v>
      </c>
      <c r="B16" s="541" t="s">
        <v>102</v>
      </c>
      <c r="C16" s="68" t="s">
        <v>103</v>
      </c>
      <c r="D16" s="70" t="s">
        <v>104</v>
      </c>
      <c r="E16" s="71">
        <v>0.7</v>
      </c>
      <c r="F16" s="11" t="s">
        <v>355</v>
      </c>
      <c r="G16" s="11" t="s">
        <v>356</v>
      </c>
      <c r="H16" s="6">
        <v>0.6</v>
      </c>
      <c r="I16" s="70" t="s">
        <v>107</v>
      </c>
      <c r="J16" s="378">
        <f>+'Integración SI'!AB14</f>
        <v>0</v>
      </c>
      <c r="K16" s="26" t="str">
        <f>+'Integración SI'!AC10</f>
        <v>-</v>
      </c>
      <c r="L16" s="450" t="str">
        <f>+'Integración SI'!AA10</f>
        <v>-</v>
      </c>
      <c r="M16" s="450" t="str">
        <f>+IFERROR('Integración SI'!X10,"-")</f>
        <v>-</v>
      </c>
      <c r="N16" s="39">
        <f>IFERROR((J16*100%)/H16,"-")</f>
        <v>0</v>
      </c>
      <c r="O16" s="39" t="str">
        <f t="shared" si="4"/>
        <v>-</v>
      </c>
      <c r="P16" s="39" t="str">
        <f t="shared" si="0"/>
        <v>-</v>
      </c>
      <c r="Q16" s="39" t="str">
        <f>IFERROR((M16*100%)/H16,"-")</f>
        <v>-</v>
      </c>
      <c r="R16" s="39">
        <f t="shared" si="2"/>
        <v>0</v>
      </c>
    </row>
    <row r="17" spans="1:18" ht="66.75" customHeight="1" x14ac:dyDescent="0.2">
      <c r="A17" s="542"/>
      <c r="B17" s="542"/>
      <c r="C17" s="68" t="s">
        <v>113</v>
      </c>
      <c r="D17" s="70" t="s">
        <v>114</v>
      </c>
      <c r="E17" s="71">
        <v>0.7</v>
      </c>
      <c r="F17" s="11" t="s">
        <v>374</v>
      </c>
      <c r="G17" s="11" t="s">
        <v>356</v>
      </c>
      <c r="H17" s="6">
        <v>0.3</v>
      </c>
      <c r="I17" s="70" t="s">
        <v>117</v>
      </c>
      <c r="J17" s="378">
        <f>+'Construcción-Adecuación'!Y20</f>
        <v>0</v>
      </c>
      <c r="K17" s="26">
        <f>+'Construcción-Adecuación'!AC12</f>
        <v>0</v>
      </c>
      <c r="L17" s="450">
        <f>+'Construcción-Adecuación'!AA12</f>
        <v>0</v>
      </c>
      <c r="M17" s="450">
        <f>+IFERROR('Construcción-Adecuación'!X12,"-")</f>
        <v>0</v>
      </c>
      <c r="N17" s="39">
        <f>IFERROR((J17*100%)/H17,"-")</f>
        <v>0</v>
      </c>
      <c r="O17" s="39">
        <f>IFERROR((K17*100%)/H17,"-")</f>
        <v>0</v>
      </c>
      <c r="P17" s="39">
        <f>IFERROR((L17*100%)/H17,"-")</f>
        <v>0</v>
      </c>
      <c r="Q17" s="39">
        <f>IFERROR((M17*100%)/H17,"-")</f>
        <v>0</v>
      </c>
      <c r="R17" s="39">
        <f t="shared" si="2"/>
        <v>0</v>
      </c>
    </row>
    <row r="18" spans="1:18" ht="72" customHeight="1" x14ac:dyDescent="0.2">
      <c r="A18" s="542"/>
      <c r="B18" s="542"/>
      <c r="C18" s="69" t="s">
        <v>124</v>
      </c>
      <c r="D18" s="70" t="s">
        <v>125</v>
      </c>
      <c r="E18" s="71">
        <v>0.7</v>
      </c>
      <c r="F18" s="11" t="s">
        <v>410</v>
      </c>
      <c r="G18" s="11" t="s">
        <v>356</v>
      </c>
      <c r="H18" s="6">
        <v>0.6</v>
      </c>
      <c r="I18" s="70" t="s">
        <v>129</v>
      </c>
      <c r="J18" s="378">
        <f>+'Gestión Tecnología'!AF14</f>
        <v>0</v>
      </c>
      <c r="K18" s="26">
        <f>+'Gestión Tecnología'!AL10</f>
        <v>0</v>
      </c>
      <c r="L18" s="450" t="str">
        <f>+'Gestión Tecnología'!AJ10</f>
        <v>-</v>
      </c>
      <c r="M18" s="450">
        <f>+IFERROR('Gestión Tecnología'!AG10,"-")</f>
        <v>1</v>
      </c>
      <c r="N18" s="39" t="str">
        <f>IFERROR(IF((J18*100%)=50%,1,"-"),"-")</f>
        <v>-</v>
      </c>
      <c r="O18" s="39" t="str">
        <f>IFERROR(IF((K18*100%)=50%,1,"-"),"-")</f>
        <v>-</v>
      </c>
      <c r="P18" s="39" t="str">
        <f>IFERROR(IF((L18*100%)=50%,1,"-"),"-")</f>
        <v>-</v>
      </c>
      <c r="Q18" s="39" t="str">
        <f>IFERROR(IF((M18*100%)=50%,1,"-"),"-")</f>
        <v>-</v>
      </c>
      <c r="R18" s="39" t="str">
        <f>IFERROR(AVERAGE(N18:Q18),"-")</f>
        <v>-</v>
      </c>
    </row>
    <row r="19" spans="1:18" ht="78.75" customHeight="1" x14ac:dyDescent="0.2">
      <c r="A19" s="68" t="s">
        <v>135</v>
      </c>
      <c r="B19" s="69" t="s">
        <v>136</v>
      </c>
      <c r="C19" s="69" t="s">
        <v>137</v>
      </c>
      <c r="D19" s="70" t="s">
        <v>138</v>
      </c>
      <c r="E19" s="71">
        <v>0.6</v>
      </c>
      <c r="F19" s="19" t="s">
        <v>139</v>
      </c>
      <c r="G19" s="6" t="s">
        <v>140</v>
      </c>
      <c r="H19" s="6" t="s">
        <v>141</v>
      </c>
      <c r="I19" s="71" t="s">
        <v>142</v>
      </c>
      <c r="J19" s="378">
        <f>+PEGITH!AN19</f>
        <v>0</v>
      </c>
      <c r="K19" s="26" t="str">
        <f>+PEGITH!AX15</f>
        <v>-</v>
      </c>
      <c r="L19" s="450" t="str">
        <f>+PEGITH!AV15</f>
        <v>-</v>
      </c>
      <c r="M19" s="450" t="str">
        <f>+PEGITH!AW15</f>
        <v>-</v>
      </c>
      <c r="N19" s="39" t="str">
        <f>IFERROR(IF((J19*100%)&gt;=90%,1,"-"),"-")</f>
        <v>-</v>
      </c>
      <c r="O19" s="39" t="str">
        <f>IFERROR(IF((K19*100%)&gt;=90%,1,"-"),"-")</f>
        <v>-</v>
      </c>
      <c r="P19" s="39" t="str">
        <f>IFERROR(IF((L19*100%)&gt;=90%,1,"-"),"-")</f>
        <v>-</v>
      </c>
      <c r="Q19" s="39" t="str">
        <f>IFERROR(IF((M19*100%)&gt;=90%,1,"-"),"-")</f>
        <v>-</v>
      </c>
      <c r="R19" s="39" t="str">
        <f t="shared" si="2"/>
        <v>-</v>
      </c>
    </row>
    <row r="20" spans="1:18" ht="58.5" customHeight="1" x14ac:dyDescent="0.2">
      <c r="A20" s="541" t="s">
        <v>145</v>
      </c>
      <c r="B20" s="547" t="s">
        <v>146</v>
      </c>
      <c r="C20" s="20" t="s">
        <v>147</v>
      </c>
      <c r="D20" s="11" t="s">
        <v>148</v>
      </c>
      <c r="E20" s="6" t="s">
        <v>149</v>
      </c>
      <c r="F20" s="19" t="s">
        <v>150</v>
      </c>
      <c r="G20" s="19" t="s">
        <v>150</v>
      </c>
      <c r="H20" s="21">
        <v>1</v>
      </c>
      <c r="I20" s="6" t="s">
        <v>151</v>
      </c>
      <c r="J20" s="481">
        <f>+'ISO 140012015'!Z8</f>
        <v>0</v>
      </c>
      <c r="K20" s="26">
        <f>+'ISO 140012015'!AC8</f>
        <v>0</v>
      </c>
      <c r="L20" s="450">
        <f>+IFERROR('ISO 140012015'!T8,"-")</f>
        <v>0</v>
      </c>
      <c r="M20" s="478">
        <f>+'ISO 140012015'!X8</f>
        <v>0</v>
      </c>
      <c r="N20" s="39">
        <f>IFERROR((J20*100%)/H20,"-")</f>
        <v>0</v>
      </c>
      <c r="O20" s="39">
        <f t="shared" ref="O20:O24" si="6">IFERROR((K20*100%)/H20,"-")</f>
        <v>0</v>
      </c>
      <c r="P20" s="39">
        <f t="shared" ref="P20:P24" si="7">IFERROR((L20*100%)/H20,"-")</f>
        <v>0</v>
      </c>
      <c r="Q20" s="39" t="str">
        <f>IF(M20=1,1,"-")</f>
        <v>-</v>
      </c>
      <c r="R20" s="39">
        <f t="shared" si="2"/>
        <v>0</v>
      </c>
    </row>
    <row r="21" spans="1:18" ht="45.75" customHeight="1" x14ac:dyDescent="0.2">
      <c r="A21" s="542"/>
      <c r="B21" s="548"/>
      <c r="C21" s="20" t="s">
        <v>152</v>
      </c>
      <c r="D21" s="11" t="s">
        <v>153</v>
      </c>
      <c r="E21" s="6" t="s">
        <v>149</v>
      </c>
      <c r="F21" s="19" t="s">
        <v>155</v>
      </c>
      <c r="G21" s="19" t="s">
        <v>155</v>
      </c>
      <c r="H21" s="21">
        <v>1</v>
      </c>
      <c r="I21" s="6" t="s">
        <v>156</v>
      </c>
      <c r="J21" s="481">
        <f>+'ISO 450012018'!Z8</f>
        <v>0</v>
      </c>
      <c r="K21" s="26">
        <f>+'ISO 450012018'!AC8</f>
        <v>0</v>
      </c>
      <c r="L21" s="450">
        <f>+'ISO 450012018'!T8</f>
        <v>0</v>
      </c>
      <c r="M21" s="478">
        <f>+'ISO 450012018'!X8</f>
        <v>0</v>
      </c>
      <c r="N21" s="39">
        <f t="shared" ref="N21:N28" si="8">IFERROR((J21*100%)/H21,"-")</f>
        <v>0</v>
      </c>
      <c r="O21" s="39">
        <f t="shared" si="6"/>
        <v>0</v>
      </c>
      <c r="P21" s="39">
        <f t="shared" si="7"/>
        <v>0</v>
      </c>
      <c r="Q21" s="39" t="str">
        <f>IF(M21=1,1,"-")</f>
        <v>-</v>
      </c>
      <c r="R21" s="39">
        <f t="shared" si="2"/>
        <v>0</v>
      </c>
    </row>
    <row r="22" spans="1:18" ht="42" customHeight="1" x14ac:dyDescent="0.2">
      <c r="A22" s="542"/>
      <c r="B22" s="548"/>
      <c r="C22" s="20" t="s">
        <v>157</v>
      </c>
      <c r="D22" s="11" t="s">
        <v>158</v>
      </c>
      <c r="E22" s="6" t="s">
        <v>154</v>
      </c>
      <c r="F22" s="19" t="s">
        <v>159</v>
      </c>
      <c r="G22" s="19" t="s">
        <v>159</v>
      </c>
      <c r="H22" s="21">
        <v>1</v>
      </c>
      <c r="I22" s="6" t="s">
        <v>160</v>
      </c>
      <c r="J22" s="481">
        <f>+'ISO 90012015'!Z9</f>
        <v>0</v>
      </c>
      <c r="K22" s="26">
        <f>+'ISO 90012015'!AC9</f>
        <v>0</v>
      </c>
      <c r="L22" s="450">
        <f>+'ISO 90012015'!T9</f>
        <v>0</v>
      </c>
      <c r="M22" s="478" t="str">
        <f>+'ISO 90012015'!X9</f>
        <v>-</v>
      </c>
      <c r="N22" s="39">
        <f t="shared" si="8"/>
        <v>0</v>
      </c>
      <c r="O22" s="39">
        <f t="shared" si="6"/>
        <v>0</v>
      </c>
      <c r="P22" s="39">
        <f t="shared" si="7"/>
        <v>0</v>
      </c>
      <c r="Q22" s="39" t="str">
        <f>IF(M22=1,1,"-")</f>
        <v>-</v>
      </c>
      <c r="R22" s="39">
        <f t="shared" si="2"/>
        <v>0</v>
      </c>
    </row>
    <row r="23" spans="1:18" ht="39" customHeight="1" x14ac:dyDescent="0.2">
      <c r="A23" s="542"/>
      <c r="B23" s="548"/>
      <c r="C23" s="547" t="s">
        <v>161</v>
      </c>
      <c r="D23" s="11" t="s">
        <v>162</v>
      </c>
      <c r="E23" s="6" t="s">
        <v>154</v>
      </c>
      <c r="F23" s="19" t="s">
        <v>163</v>
      </c>
      <c r="G23" s="19" t="s">
        <v>163</v>
      </c>
      <c r="H23" s="21">
        <v>1</v>
      </c>
      <c r="I23" s="544" t="s">
        <v>585</v>
      </c>
      <c r="J23" s="146" t="s">
        <v>226</v>
      </c>
      <c r="K23" s="26">
        <f>+'BPE - BPM'!P8</f>
        <v>0</v>
      </c>
      <c r="L23" s="450">
        <f>+'BPE - BPM'!AA7</f>
        <v>0</v>
      </c>
      <c r="M23" s="478" t="e">
        <f>+'BPE - BPM'!#REF!</f>
        <v>#REF!</v>
      </c>
      <c r="N23" s="39" t="str">
        <f t="shared" si="8"/>
        <v>-</v>
      </c>
      <c r="O23" s="39">
        <f t="shared" si="6"/>
        <v>0</v>
      </c>
      <c r="P23" s="39">
        <f t="shared" si="7"/>
        <v>0</v>
      </c>
      <c r="Q23" s="39" t="e">
        <f>IF(M23=1,1,"-")</f>
        <v>#REF!</v>
      </c>
      <c r="R23" s="39" t="str">
        <f t="shared" si="2"/>
        <v>-</v>
      </c>
    </row>
    <row r="24" spans="1:18" ht="39" customHeight="1" x14ac:dyDescent="0.2">
      <c r="A24" s="543"/>
      <c r="B24" s="549"/>
      <c r="C24" s="549"/>
      <c r="D24" s="11" t="s">
        <v>165</v>
      </c>
      <c r="E24" s="6" t="s">
        <v>149</v>
      </c>
      <c r="F24" s="19" t="s">
        <v>166</v>
      </c>
      <c r="G24" s="19" t="s">
        <v>166</v>
      </c>
      <c r="H24" s="21">
        <v>1</v>
      </c>
      <c r="I24" s="546"/>
      <c r="J24" s="482">
        <v>0</v>
      </c>
      <c r="K24" s="26">
        <f>+BPM!P8</f>
        <v>0</v>
      </c>
      <c r="L24" s="450" t="e">
        <f>+'BPE - BPM'!#REF!</f>
        <v>#REF!</v>
      </c>
      <c r="M24" s="479">
        <f>+'BPE - BPM'!X7</f>
        <v>0</v>
      </c>
      <c r="N24" s="39">
        <f t="shared" si="8"/>
        <v>0</v>
      </c>
      <c r="O24" s="39">
        <f t="shared" si="6"/>
        <v>0</v>
      </c>
      <c r="P24" s="39" t="str">
        <f t="shared" si="7"/>
        <v>-</v>
      </c>
      <c r="Q24" s="39" t="str">
        <f>IF(M24=1,1,"-")</f>
        <v>-</v>
      </c>
      <c r="R24" s="39">
        <f t="shared" si="2"/>
        <v>0</v>
      </c>
    </row>
    <row r="25" spans="1:18" ht="84" customHeight="1" x14ac:dyDescent="0.2">
      <c r="A25" s="541" t="s">
        <v>167</v>
      </c>
      <c r="B25" s="547" t="s">
        <v>168</v>
      </c>
      <c r="C25" s="69" t="s">
        <v>169</v>
      </c>
      <c r="D25" s="70" t="s">
        <v>170</v>
      </c>
      <c r="E25" s="71">
        <v>0.7</v>
      </c>
      <c r="F25" s="11" t="s">
        <v>411</v>
      </c>
      <c r="G25" s="6" t="s">
        <v>412</v>
      </c>
      <c r="H25" s="6">
        <v>0.5</v>
      </c>
      <c r="I25" s="544" t="s">
        <v>174</v>
      </c>
      <c r="J25" s="378">
        <f>+'Gestion Investigación'!Y20</f>
        <v>0</v>
      </c>
      <c r="K25" s="26">
        <f>+IFERROR('Gestion Investigación'!P13,"-")</f>
        <v>0</v>
      </c>
      <c r="L25" s="450">
        <f>+'Gestion Investigación'!AA13</f>
        <v>0</v>
      </c>
      <c r="M25" s="474">
        <f>IFERROR(+'Gestion Investigación'!X13,"-")</f>
        <v>0</v>
      </c>
      <c r="N25" s="39" t="str">
        <f>IFERROR(IF((J25*100%)&gt;=1%,1,"-"),"-")</f>
        <v>-</v>
      </c>
      <c r="O25" s="39" t="str">
        <f>IFERROR(IF((K25*100%)&gt;=1%,1,"-"),"-")</f>
        <v>-</v>
      </c>
      <c r="P25" s="39" t="str">
        <f>IFERROR(IF((L25*100%)&gt;=1%,1,"-"),"-")</f>
        <v>-</v>
      </c>
      <c r="Q25" s="39" t="str">
        <f>IFERROR(IF((M25*100%)&gt;=1%,1,"-"),"-")</f>
        <v>-</v>
      </c>
      <c r="R25" s="39" t="str">
        <f t="shared" si="2"/>
        <v>-</v>
      </c>
    </row>
    <row r="26" spans="1:18" ht="39" customHeight="1" x14ac:dyDescent="0.2">
      <c r="A26" s="542"/>
      <c r="B26" s="548"/>
      <c r="C26" s="23" t="s">
        <v>181</v>
      </c>
      <c r="D26" s="11" t="s">
        <v>182</v>
      </c>
      <c r="E26" s="6">
        <v>0.5</v>
      </c>
      <c r="F26" s="19" t="s">
        <v>171</v>
      </c>
      <c r="G26" s="6" t="s">
        <v>172</v>
      </c>
      <c r="H26" s="6">
        <v>0.3</v>
      </c>
      <c r="I26" s="545"/>
      <c r="J26" s="378">
        <v>0</v>
      </c>
      <c r="K26" s="26">
        <v>0</v>
      </c>
      <c r="L26" s="7" t="str">
        <f>+IFERROR('Líneas Investigación'!T8,"-")</f>
        <v>-</v>
      </c>
      <c r="M26" s="450">
        <f>+'Gestion Investigación'!U10</f>
        <v>0</v>
      </c>
      <c r="N26" s="39">
        <f t="shared" si="8"/>
        <v>0</v>
      </c>
      <c r="O26" s="39">
        <f t="shared" ref="O26:O28" si="9">IFERROR((K26*100%)/H26,"-")</f>
        <v>0</v>
      </c>
      <c r="P26" s="39" t="str">
        <f t="shared" ref="P26:P28" si="10">IFERROR((L26*100%)/H26,"-")</f>
        <v>-</v>
      </c>
      <c r="Q26" s="39">
        <f t="shared" ref="Q26" si="11">IFERROR((M26*100%)/H26,"-")</f>
        <v>0</v>
      </c>
      <c r="R26" s="39">
        <f t="shared" si="2"/>
        <v>0</v>
      </c>
    </row>
    <row r="27" spans="1:18" ht="39" customHeight="1" x14ac:dyDescent="0.2">
      <c r="A27" s="542"/>
      <c r="B27" s="548"/>
      <c r="C27" s="23" t="s">
        <v>183</v>
      </c>
      <c r="D27" s="11" t="s">
        <v>184</v>
      </c>
      <c r="E27" s="22">
        <v>2</v>
      </c>
      <c r="F27" s="19" t="s">
        <v>185</v>
      </c>
      <c r="G27" s="11" t="s">
        <v>186</v>
      </c>
      <c r="H27" s="21">
        <v>1</v>
      </c>
      <c r="I27" s="545"/>
      <c r="J27" s="378">
        <v>0</v>
      </c>
      <c r="K27" s="26">
        <v>0</v>
      </c>
      <c r="L27" s="22" t="str">
        <f>+Congresos!T8</f>
        <v>-</v>
      </c>
      <c r="M27" s="480">
        <f>+'Gestion Investigación'!X11</f>
        <v>0</v>
      </c>
      <c r="N27" s="39">
        <f>IFERROR((J27*100%)/H27,"-")</f>
        <v>0</v>
      </c>
      <c r="O27" s="39">
        <f t="shared" si="9"/>
        <v>0</v>
      </c>
      <c r="P27" s="39" t="str">
        <f t="shared" si="10"/>
        <v>-</v>
      </c>
      <c r="Q27" s="39" t="str">
        <f>IF(M27=1,1,"-")</f>
        <v>-</v>
      </c>
      <c r="R27" s="39">
        <f t="shared" si="2"/>
        <v>0</v>
      </c>
    </row>
    <row r="28" spans="1:18" ht="84.75" customHeight="1" x14ac:dyDescent="0.2">
      <c r="A28" s="543"/>
      <c r="B28" s="549"/>
      <c r="C28" s="23" t="s">
        <v>187</v>
      </c>
      <c r="D28" s="11" t="s">
        <v>188</v>
      </c>
      <c r="E28" s="22">
        <v>1</v>
      </c>
      <c r="F28" s="19" t="s">
        <v>189</v>
      </c>
      <c r="G28" s="11" t="s">
        <v>190</v>
      </c>
      <c r="H28" s="21">
        <v>1</v>
      </c>
      <c r="I28" s="546"/>
      <c r="J28" s="475">
        <v>0</v>
      </c>
      <c r="K28" s="26">
        <v>0</v>
      </c>
      <c r="L28" s="22" t="str">
        <f>+IFERROR('Alianzas Estratégicas'!T8,"-")</f>
        <v>-</v>
      </c>
      <c r="M28" s="480">
        <f>+'Gestion Investigación'!X12</f>
        <v>0</v>
      </c>
      <c r="N28" s="39">
        <f t="shared" si="8"/>
        <v>0</v>
      </c>
      <c r="O28" s="39">
        <f t="shared" si="9"/>
        <v>0</v>
      </c>
      <c r="P28" s="39" t="str">
        <f t="shared" si="10"/>
        <v>-</v>
      </c>
      <c r="Q28" s="39" t="str">
        <f>IF(M28=1,1,"-")</f>
        <v>-</v>
      </c>
      <c r="R28" s="39">
        <f t="shared" si="2"/>
        <v>0</v>
      </c>
    </row>
    <row r="29" spans="1:18" ht="45.6" customHeight="1" x14ac:dyDescent="0.2">
      <c r="A29" s="550">
        <v>0</v>
      </c>
      <c r="B29" s="551"/>
      <c r="C29" s="551"/>
      <c r="D29" s="551"/>
      <c r="E29" s="551"/>
      <c r="F29" s="551"/>
      <c r="G29" s="551"/>
      <c r="H29" s="551"/>
      <c r="I29" s="551"/>
      <c r="J29" s="551"/>
      <c r="K29" s="329" t="str">
        <f>IFERROR(+AVERAGE(K7:K28),"-")</f>
        <v>-</v>
      </c>
      <c r="L29" s="329" t="str">
        <f>IFERROR(+AVERAGE(L7:L28),"-")</f>
        <v>-</v>
      </c>
      <c r="M29" s="329" t="str">
        <f>IFERROR(+AVERAGE(M7:M28),"-")</f>
        <v>-</v>
      </c>
      <c r="N29" s="39">
        <f>+IFERROR(AVERAGE(N7:N28),"-")</f>
        <v>0</v>
      </c>
      <c r="O29" s="39">
        <f t="shared" ref="O29:R29" si="12">+IFERROR(AVERAGE(O7:O28),"-")</f>
        <v>9.0909090909090912E-2</v>
      </c>
      <c r="P29" s="39">
        <f t="shared" si="12"/>
        <v>0.14285714285714285</v>
      </c>
      <c r="Q29" s="39" t="str">
        <f t="shared" si="12"/>
        <v>-</v>
      </c>
      <c r="R29" s="39">
        <f t="shared" si="12"/>
        <v>0.14285714285714285</v>
      </c>
    </row>
  </sheetData>
  <mergeCells count="30">
    <mergeCell ref="A29:J29"/>
    <mergeCell ref="A20:A24"/>
    <mergeCell ref="B20:B24"/>
    <mergeCell ref="C23:C24"/>
    <mergeCell ref="I23:I24"/>
    <mergeCell ref="A25:A28"/>
    <mergeCell ref="B25:B28"/>
    <mergeCell ref="I25:I28"/>
    <mergeCell ref="A16:A18"/>
    <mergeCell ref="B16:B18"/>
    <mergeCell ref="A9:A10"/>
    <mergeCell ref="B9:B10"/>
    <mergeCell ref="C9:C10"/>
    <mergeCell ref="A12:A15"/>
    <mergeCell ref="B12:B15"/>
    <mergeCell ref="N5:R5"/>
    <mergeCell ref="B1:R1"/>
    <mergeCell ref="A2:A3"/>
    <mergeCell ref="B2:R3"/>
    <mergeCell ref="A4:C4"/>
    <mergeCell ref="A5:A6"/>
    <mergeCell ref="B5:B6"/>
    <mergeCell ref="C5:C6"/>
    <mergeCell ref="D5:D6"/>
    <mergeCell ref="E5:E6"/>
    <mergeCell ref="F5:F6"/>
    <mergeCell ref="G5:G6"/>
    <mergeCell ref="H5:H6"/>
    <mergeCell ref="I5:I6"/>
    <mergeCell ref="J5:M5"/>
  </mergeCells>
  <conditionalFormatting sqref="N7:R29">
    <cfRule type="cellIs" dxfId="101" priority="34" operator="lessThan">
      <formula>0.6</formula>
    </cfRule>
    <cfRule type="cellIs" dxfId="100" priority="35" operator="between">
      <formula>60%</formula>
      <formula>79%</formula>
    </cfRule>
    <cfRule type="cellIs" dxfId="99" priority="36" operator="between">
      <formula>80%</formula>
      <formula>100%</formula>
    </cfRule>
  </conditionalFormatting>
  <conditionalFormatting sqref="K7 K9:K28">
    <cfRule type="cellIs" dxfId="98" priority="4" operator="lessThan">
      <formula>0.6</formula>
    </cfRule>
    <cfRule type="cellIs" dxfId="97" priority="5" operator="between">
      <formula>60%</formula>
      <formula>80%</formula>
    </cfRule>
    <cfRule type="cellIs" dxfId="96" priority="6" operator="between">
      <formula>81%</formula>
      <formula>100%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W19"/>
  <sheetViews>
    <sheetView tabSelected="1" zoomScale="85" zoomScaleNormal="85" zoomScaleSheetLayoutView="80" workbookViewId="0"/>
  </sheetViews>
  <sheetFormatPr baseColWidth="10" defaultColWidth="11.42578125" defaultRowHeight="15" x14ac:dyDescent="0.25"/>
  <cols>
    <col min="1" max="1" width="1.42578125" style="118" customWidth="1"/>
    <col min="2" max="2" width="16" style="118" customWidth="1"/>
    <col min="3" max="3" width="24.7109375" style="118" customWidth="1"/>
    <col min="4" max="4" width="12.5703125" style="118" customWidth="1"/>
    <col min="5" max="5" width="5.7109375" style="118" customWidth="1"/>
    <col min="6" max="6" width="11.28515625" style="118" customWidth="1"/>
    <col min="7" max="7" width="9.7109375" style="118" customWidth="1"/>
    <col min="8" max="8" width="16.28515625" style="118" customWidth="1"/>
    <col min="9" max="9" width="14" style="118" customWidth="1"/>
    <col min="10" max="10" width="15.28515625" style="118" customWidth="1"/>
    <col min="11" max="11" width="8" style="118" customWidth="1"/>
    <col min="12" max="12" width="12.28515625" style="118" customWidth="1"/>
    <col min="13" max="13" width="1.140625" style="118" customWidth="1"/>
    <col min="14" max="14" width="8.85546875" style="118" customWidth="1"/>
    <col min="15" max="15" width="14.5703125" style="118" customWidth="1"/>
    <col min="16" max="16" width="13.28515625" style="118" customWidth="1"/>
    <col min="17" max="17" width="15.28515625" style="118" customWidth="1"/>
    <col min="18" max="18" width="5.140625" style="118" customWidth="1"/>
    <col min="19" max="19" width="8.7109375" style="462" customWidth="1"/>
    <col min="20" max="20" width="10.140625" style="118" customWidth="1"/>
    <col min="21" max="21" width="6.5703125" style="118" customWidth="1"/>
    <col min="22" max="22" width="9" style="118" customWidth="1"/>
    <col min="23" max="16384" width="11.42578125" style="118"/>
  </cols>
  <sheetData>
    <row r="1" spans="2:23" ht="15.75" thickBot="1" x14ac:dyDescent="0.3"/>
    <row r="2" spans="2:23" ht="45" customHeight="1" thickBot="1" x14ac:dyDescent="0.3">
      <c r="B2" s="565" t="s">
        <v>740</v>
      </c>
      <c r="C2" s="566"/>
      <c r="D2" s="566"/>
      <c r="E2" s="566"/>
      <c r="F2" s="566"/>
      <c r="G2" s="566"/>
      <c r="H2" s="566"/>
      <c r="I2" s="566"/>
      <c r="J2" s="566"/>
      <c r="K2" s="566"/>
      <c r="L2" s="566"/>
      <c r="M2" s="566"/>
      <c r="N2" s="566"/>
      <c r="O2" s="566"/>
      <c r="P2" s="566"/>
      <c r="Q2" s="566"/>
      <c r="R2" s="566"/>
      <c r="S2" s="566"/>
      <c r="T2" s="566"/>
      <c r="U2" s="566"/>
      <c r="V2" s="567"/>
    </row>
    <row r="3" spans="2:23" ht="15.75" x14ac:dyDescent="0.25">
      <c r="B3" s="87"/>
      <c r="C3" s="88"/>
      <c r="D3" s="88"/>
      <c r="E3" s="88"/>
      <c r="F3" s="88"/>
      <c r="G3" s="88"/>
      <c r="H3" s="87"/>
      <c r="I3" s="88"/>
      <c r="J3" s="88"/>
      <c r="K3" s="88"/>
      <c r="L3" s="88"/>
      <c r="M3" s="88"/>
      <c r="N3" s="89"/>
      <c r="O3" s="87"/>
      <c r="P3" s="88"/>
      <c r="Q3" s="88"/>
      <c r="R3" s="88"/>
      <c r="S3" s="463"/>
      <c r="T3" s="88"/>
      <c r="U3" s="88"/>
      <c r="V3" s="89"/>
      <c r="W3" s="126"/>
    </row>
    <row r="4" spans="2:23" ht="15.75" x14ac:dyDescent="0.25">
      <c r="B4" s="90" t="s">
        <v>360</v>
      </c>
      <c r="C4" s="91"/>
      <c r="D4" s="91"/>
      <c r="E4" s="91"/>
      <c r="F4" s="91"/>
      <c r="G4" s="92">
        <f>IFERROR(AVERAGE(F6:F10),"-")</f>
        <v>0</v>
      </c>
      <c r="H4" s="90" t="s">
        <v>361</v>
      </c>
      <c r="I4" s="116"/>
      <c r="J4" s="116"/>
      <c r="K4" s="91"/>
      <c r="L4" s="91"/>
      <c r="M4" s="91"/>
      <c r="N4" s="157">
        <f>IFERROR(AVERAGE(L6:L11),"-")</f>
        <v>0</v>
      </c>
      <c r="O4" s="90" t="s">
        <v>362</v>
      </c>
      <c r="P4" s="116"/>
      <c r="Q4" s="116"/>
      <c r="R4" s="91"/>
      <c r="S4" s="464"/>
      <c r="T4" s="91"/>
      <c r="U4" s="91"/>
      <c r="V4" s="93">
        <f>AVERAGE(S6:S13)</f>
        <v>0</v>
      </c>
      <c r="W4" s="127"/>
    </row>
    <row r="5" spans="2:23" ht="15.75" x14ac:dyDescent="0.25">
      <c r="B5" s="94"/>
      <c r="C5" s="91"/>
      <c r="D5" s="91"/>
      <c r="E5" s="91"/>
      <c r="F5" s="91"/>
      <c r="G5" s="91"/>
      <c r="H5" s="94"/>
      <c r="I5" s="91"/>
      <c r="J5" s="91"/>
      <c r="K5" s="91"/>
      <c r="L5" s="91"/>
      <c r="M5" s="91"/>
      <c r="N5" s="95"/>
      <c r="O5" s="94"/>
      <c r="P5" s="91"/>
      <c r="Q5" s="91"/>
      <c r="R5" s="91"/>
      <c r="S5" s="464"/>
      <c r="T5" s="91"/>
      <c r="U5" s="91"/>
      <c r="V5" s="95"/>
      <c r="W5" s="127"/>
    </row>
    <row r="6" spans="2:23" ht="37.5" customHeight="1" x14ac:dyDescent="0.25">
      <c r="B6" s="560" t="s">
        <v>216</v>
      </c>
      <c r="C6" s="561"/>
      <c r="D6" s="561"/>
      <c r="E6" s="96"/>
      <c r="F6" s="148" t="str">
        <f>+PEGIF!AQ26</f>
        <v>-</v>
      </c>
      <c r="G6" s="96"/>
      <c r="H6" s="574" t="s">
        <v>35</v>
      </c>
      <c r="I6" s="575"/>
      <c r="J6" s="575"/>
      <c r="K6" s="124"/>
      <c r="L6" s="562" t="str">
        <f>+'Modelo Atención'!AS8</f>
        <v>-</v>
      </c>
      <c r="M6" s="96"/>
      <c r="N6" s="98"/>
      <c r="O6" s="576" t="s">
        <v>94</v>
      </c>
      <c r="P6" s="577"/>
      <c r="Q6" s="577"/>
      <c r="R6" s="99"/>
      <c r="S6" s="461" t="str">
        <f>+MIPG!BP8</f>
        <v>-</v>
      </c>
      <c r="T6" s="91"/>
      <c r="U6" s="91"/>
      <c r="V6" s="95"/>
      <c r="W6" s="127"/>
    </row>
    <row r="7" spans="2:23" ht="30" customHeight="1" x14ac:dyDescent="0.25">
      <c r="B7" s="560" t="s">
        <v>82</v>
      </c>
      <c r="C7" s="561"/>
      <c r="D7" s="561"/>
      <c r="E7" s="96"/>
      <c r="F7" s="148">
        <f>+Costos!Z11</f>
        <v>0</v>
      </c>
      <c r="G7" s="96"/>
      <c r="H7" s="574"/>
      <c r="I7" s="575"/>
      <c r="J7" s="575"/>
      <c r="K7" s="124"/>
      <c r="L7" s="563"/>
      <c r="M7" s="96"/>
      <c r="N7" s="100"/>
      <c r="O7" s="558" t="s">
        <v>103</v>
      </c>
      <c r="P7" s="559"/>
      <c r="Q7" s="559"/>
      <c r="R7" s="96"/>
      <c r="S7" s="461" t="str">
        <f>+'Integración SI'!Z10</f>
        <v>-</v>
      </c>
      <c r="T7" s="101"/>
      <c r="U7" s="91"/>
      <c r="V7" s="95"/>
      <c r="W7" s="127"/>
    </row>
    <row r="8" spans="2:23" ht="41.25" customHeight="1" x14ac:dyDescent="0.25">
      <c r="B8" s="560" t="s">
        <v>85</v>
      </c>
      <c r="C8" s="561"/>
      <c r="D8" s="561"/>
      <c r="E8" s="96"/>
      <c r="F8" s="148" t="str">
        <f>+'Prevención Daño Ant'!Z11</f>
        <v>-</v>
      </c>
      <c r="G8" s="96"/>
      <c r="H8" s="574" t="s">
        <v>416</v>
      </c>
      <c r="I8" s="575"/>
      <c r="J8" s="575"/>
      <c r="K8" s="96"/>
      <c r="L8" s="97" t="str">
        <f>+'Seguridad Paciente'!BB11</f>
        <v>-</v>
      </c>
      <c r="M8" s="96"/>
      <c r="N8" s="100"/>
      <c r="O8" s="560" t="s">
        <v>418</v>
      </c>
      <c r="P8" s="561"/>
      <c r="Q8" s="561"/>
      <c r="R8" s="96"/>
      <c r="S8" s="461">
        <f>+'Gestión Tecnología'!AI10</f>
        <v>0</v>
      </c>
      <c r="T8" s="91"/>
      <c r="U8" s="91"/>
      <c r="V8" s="95"/>
      <c r="W8" s="127"/>
    </row>
    <row r="9" spans="2:23" ht="28.5" customHeight="1" x14ac:dyDescent="0.25">
      <c r="B9" s="572" t="s">
        <v>415</v>
      </c>
      <c r="C9" s="573"/>
      <c r="D9" s="573"/>
      <c r="E9" s="96"/>
      <c r="F9" s="148">
        <f>+'Construcción-Adecuación'!Z12</f>
        <v>0</v>
      </c>
      <c r="G9" s="96"/>
      <c r="H9" s="560" t="s">
        <v>417</v>
      </c>
      <c r="I9" s="561"/>
      <c r="J9" s="561"/>
      <c r="K9" s="125"/>
      <c r="L9" s="97" t="str">
        <f>+'Alta Complejidad'!DI8</f>
        <v>-</v>
      </c>
      <c r="M9" s="96"/>
      <c r="N9" s="100"/>
      <c r="O9" s="560" t="s">
        <v>724</v>
      </c>
      <c r="P9" s="561"/>
      <c r="Q9" s="561"/>
      <c r="R9" s="102"/>
      <c r="S9" s="461">
        <f>+'ISO 140012015'!Z8</f>
        <v>0</v>
      </c>
      <c r="T9" s="91"/>
      <c r="U9" s="91"/>
      <c r="V9" s="95"/>
      <c r="W9" s="127"/>
    </row>
    <row r="10" spans="2:23" ht="43.5" customHeight="1" x14ac:dyDescent="0.25">
      <c r="B10" s="572" t="s">
        <v>392</v>
      </c>
      <c r="C10" s="573"/>
      <c r="D10" s="573"/>
      <c r="E10" s="96"/>
      <c r="F10" s="148" t="str">
        <f>+PEGITH!AU15</f>
        <v>-</v>
      </c>
      <c r="G10" s="96"/>
      <c r="H10" s="558" t="s">
        <v>723</v>
      </c>
      <c r="I10" s="559"/>
      <c r="J10" s="559"/>
      <c r="K10" s="115"/>
      <c r="L10" s="97">
        <f>+'BPE - BPM'!Z8</f>
        <v>0</v>
      </c>
      <c r="M10" s="96"/>
      <c r="N10" s="100"/>
      <c r="O10" s="564" t="s">
        <v>725</v>
      </c>
      <c r="P10" s="564"/>
      <c r="Q10" s="564"/>
      <c r="R10" s="96"/>
      <c r="S10" s="461">
        <f>+'ISO 450012018'!Z8</f>
        <v>0</v>
      </c>
      <c r="T10" s="91"/>
      <c r="U10" s="91"/>
      <c r="V10" s="95"/>
      <c r="W10" s="127"/>
    </row>
    <row r="11" spans="2:23" ht="44.25" customHeight="1" x14ac:dyDescent="0.25">
      <c r="B11" s="103"/>
      <c r="C11" s="96"/>
      <c r="D11" s="96"/>
      <c r="E11" s="96"/>
      <c r="F11" s="96"/>
      <c r="G11" s="96"/>
      <c r="H11" s="558" t="s">
        <v>732</v>
      </c>
      <c r="I11" s="559"/>
      <c r="J11" s="559"/>
      <c r="K11" s="115"/>
      <c r="L11" s="97" t="str">
        <f>+'Programa Humanizacion'!AR12</f>
        <v>-</v>
      </c>
      <c r="M11" s="96"/>
      <c r="N11" s="100"/>
      <c r="O11" s="560" t="s">
        <v>157</v>
      </c>
      <c r="P11" s="561"/>
      <c r="Q11" s="561"/>
      <c r="R11" s="91"/>
      <c r="S11" s="465">
        <f>+'ISO 90012015'!Z9</f>
        <v>0</v>
      </c>
      <c r="T11" s="91"/>
      <c r="U11" s="91"/>
      <c r="V11" s="95"/>
      <c r="W11" s="127"/>
    </row>
    <row r="12" spans="2:23" ht="85.5" customHeight="1" x14ac:dyDescent="0.25">
      <c r="B12" s="103"/>
      <c r="C12" s="96"/>
      <c r="D12" s="96"/>
      <c r="E12" s="96"/>
      <c r="F12" s="96"/>
      <c r="G12" s="96"/>
      <c r="H12" s="103"/>
      <c r="I12" s="96"/>
      <c r="J12" s="96"/>
      <c r="K12" s="96"/>
      <c r="L12" s="96"/>
      <c r="M12" s="96"/>
      <c r="N12" s="100"/>
      <c r="O12" s="560" t="s">
        <v>726</v>
      </c>
      <c r="P12" s="561"/>
      <c r="Q12" s="561"/>
      <c r="R12" s="91"/>
      <c r="S12" s="461">
        <f>+'Gestion Investigación'!Z13</f>
        <v>0</v>
      </c>
      <c r="T12" s="91"/>
      <c r="U12" s="91"/>
      <c r="V12" s="95"/>
      <c r="W12" s="127"/>
    </row>
    <row r="13" spans="2:23" ht="45" customHeight="1" x14ac:dyDescent="0.25">
      <c r="B13" s="103"/>
      <c r="C13" s="96"/>
      <c r="D13" s="96"/>
      <c r="E13" s="96"/>
      <c r="F13" s="96"/>
      <c r="G13" s="96"/>
      <c r="H13" s="103"/>
      <c r="I13" s="96"/>
      <c r="J13" s="96"/>
      <c r="K13" s="96"/>
      <c r="L13" s="96"/>
      <c r="M13" s="96"/>
      <c r="N13" s="100"/>
      <c r="O13" s="574" t="s">
        <v>308</v>
      </c>
      <c r="P13" s="575"/>
      <c r="Q13" s="575"/>
      <c r="R13" s="96"/>
      <c r="S13" s="469" t="str">
        <f>+Acreditación!Z8</f>
        <v>-</v>
      </c>
      <c r="T13" s="96"/>
      <c r="U13" s="91"/>
      <c r="V13" s="95"/>
      <c r="W13" s="127"/>
    </row>
    <row r="14" spans="2:23" ht="16.5" thickBot="1" x14ac:dyDescent="0.3">
      <c r="B14" s="104"/>
      <c r="C14" s="117"/>
      <c r="D14" s="105"/>
      <c r="E14" s="105"/>
      <c r="F14" s="105"/>
      <c r="G14" s="106"/>
      <c r="H14" s="104"/>
      <c r="I14" s="106"/>
      <c r="J14" s="106"/>
      <c r="K14" s="105"/>
      <c r="L14" s="105"/>
      <c r="M14" s="105"/>
      <c r="N14" s="107"/>
      <c r="O14" s="108"/>
      <c r="P14" s="105"/>
      <c r="Q14" s="105"/>
      <c r="R14" s="105"/>
      <c r="S14" s="466"/>
      <c r="T14" s="106"/>
      <c r="U14" s="106"/>
      <c r="V14" s="109"/>
      <c r="W14" s="128"/>
    </row>
    <row r="15" spans="2:23" ht="16.5" thickBot="1" x14ac:dyDescent="0.3">
      <c r="B15" s="120"/>
      <c r="C15" s="152"/>
      <c r="D15" s="120"/>
      <c r="E15" s="120"/>
      <c r="F15" s="120"/>
      <c r="G15" s="568" t="s">
        <v>746</v>
      </c>
      <c r="H15" s="569"/>
      <c r="I15" s="569"/>
      <c r="J15" s="569"/>
      <c r="K15" s="569"/>
      <c r="L15" s="569"/>
      <c r="M15" s="569"/>
      <c r="N15" s="569"/>
      <c r="O15" s="569"/>
      <c r="P15" s="569"/>
      <c r="Q15" s="569"/>
      <c r="R15" s="570"/>
      <c r="S15" s="467"/>
      <c r="T15" s="110">
        <f>AVERAGE(F6:F10,L6:L12,S6:S13)</f>
        <v>0</v>
      </c>
      <c r="U15" s="120"/>
      <c r="V15" s="120"/>
    </row>
    <row r="16" spans="2:23" ht="16.5" thickBot="1" x14ac:dyDescent="0.3">
      <c r="B16" s="571" t="s">
        <v>363</v>
      </c>
      <c r="C16" s="571"/>
      <c r="D16" s="119">
        <f>SUM(C17:D19)</f>
        <v>8</v>
      </c>
      <c r="E16" s="120"/>
      <c r="F16" s="120"/>
      <c r="G16" s="120"/>
      <c r="H16" s="120"/>
      <c r="I16" s="120"/>
      <c r="J16" s="120"/>
      <c r="K16" s="120"/>
      <c r="L16" s="120"/>
      <c r="M16" s="120"/>
      <c r="N16" s="120"/>
      <c r="O16" s="120"/>
      <c r="P16" s="120"/>
      <c r="Q16" s="120"/>
      <c r="R16" s="120"/>
      <c r="S16" s="467"/>
      <c r="T16" s="120"/>
      <c r="U16" s="120"/>
      <c r="V16" s="120"/>
    </row>
    <row r="17" spans="2:22" ht="17.25" customHeight="1" x14ac:dyDescent="0.25">
      <c r="B17" s="121" t="s">
        <v>364</v>
      </c>
      <c r="C17" s="122">
        <f>+COUNT(F6:F10)</f>
        <v>2</v>
      </c>
      <c r="D17" s="120"/>
      <c r="E17" s="120"/>
      <c r="F17" s="120"/>
      <c r="G17" s="120"/>
      <c r="H17" s="120"/>
      <c r="I17" s="120"/>
      <c r="J17" s="120"/>
      <c r="K17" s="120"/>
      <c r="L17" s="120"/>
      <c r="M17" s="120"/>
      <c r="N17" s="120"/>
      <c r="O17" s="120"/>
      <c r="P17" s="120"/>
      <c r="Q17" s="120"/>
      <c r="R17" s="120"/>
      <c r="S17" s="468"/>
      <c r="T17" s="120"/>
      <c r="U17" s="120"/>
      <c r="V17" s="120"/>
    </row>
    <row r="18" spans="2:22" ht="15.75" x14ac:dyDescent="0.25">
      <c r="B18" s="121" t="s">
        <v>365</v>
      </c>
      <c r="C18" s="149">
        <f>+COUNT(L6:L12)</f>
        <v>1</v>
      </c>
      <c r="D18" s="120"/>
      <c r="E18" s="120"/>
      <c r="F18" s="120"/>
      <c r="G18" s="120"/>
      <c r="H18" s="120"/>
      <c r="I18" s="120"/>
      <c r="J18" s="120"/>
      <c r="K18" s="120"/>
      <c r="L18" s="120"/>
      <c r="M18" s="120"/>
      <c r="N18" s="120"/>
      <c r="O18" s="120"/>
      <c r="P18" s="120"/>
      <c r="Q18" s="120"/>
      <c r="R18" s="120"/>
      <c r="S18" s="467"/>
      <c r="T18" s="120"/>
      <c r="U18" s="120"/>
      <c r="V18" s="120"/>
    </row>
    <row r="19" spans="2:22" ht="15.75" x14ac:dyDescent="0.25">
      <c r="B19" s="121" t="s">
        <v>366</v>
      </c>
      <c r="C19" s="122">
        <f>+COUNT(S6:S12)</f>
        <v>5</v>
      </c>
      <c r="D19" s="120"/>
      <c r="E19" s="120"/>
      <c r="F19" s="120"/>
      <c r="G19" s="120"/>
      <c r="H19" s="120"/>
      <c r="I19" s="120"/>
      <c r="J19" s="120"/>
      <c r="K19" s="120"/>
      <c r="L19" s="120"/>
      <c r="M19" s="120"/>
      <c r="N19" s="123"/>
      <c r="O19" s="120"/>
      <c r="P19" s="120"/>
      <c r="Q19" s="120"/>
      <c r="R19" s="120"/>
      <c r="S19" s="467"/>
      <c r="T19" s="120"/>
      <c r="U19" s="120"/>
      <c r="V19" s="120"/>
    </row>
  </sheetData>
  <mergeCells count="22">
    <mergeCell ref="B2:V2"/>
    <mergeCell ref="G15:R15"/>
    <mergeCell ref="B16:C16"/>
    <mergeCell ref="B6:D6"/>
    <mergeCell ref="B7:D7"/>
    <mergeCell ref="B8:D8"/>
    <mergeCell ref="B9:D9"/>
    <mergeCell ref="B10:D10"/>
    <mergeCell ref="H8:J8"/>
    <mergeCell ref="H6:J7"/>
    <mergeCell ref="H9:J9"/>
    <mergeCell ref="O6:Q6"/>
    <mergeCell ref="O7:Q7"/>
    <mergeCell ref="O8:Q8"/>
    <mergeCell ref="O13:Q13"/>
    <mergeCell ref="H10:J10"/>
    <mergeCell ref="H11:J11"/>
    <mergeCell ref="O12:Q12"/>
    <mergeCell ref="L6:L7"/>
    <mergeCell ref="O9:Q9"/>
    <mergeCell ref="O10:Q10"/>
    <mergeCell ref="O11:Q11"/>
  </mergeCells>
  <conditionalFormatting sqref="F6:F7 L6 S6:S12 L8:L10">
    <cfRule type="cellIs" dxfId="95" priority="28" operator="greaterThan">
      <formula>0.8</formula>
    </cfRule>
    <cfRule type="cellIs" dxfId="94" priority="29" operator="between">
      <formula>0.6</formula>
      <formula>0.799</formula>
    </cfRule>
    <cfRule type="cellIs" dxfId="93" priority="30" operator="lessThan">
      <formula>0.599</formula>
    </cfRule>
  </conditionalFormatting>
  <conditionalFormatting sqref="F8:F9">
    <cfRule type="cellIs" dxfId="92" priority="25" operator="greaterThan">
      <formula>0.8</formula>
    </cfRule>
    <cfRule type="cellIs" dxfId="91" priority="26" operator="between">
      <formula>0.6</formula>
      <formula>0.799</formula>
    </cfRule>
    <cfRule type="cellIs" dxfId="90" priority="27" operator="lessThan">
      <formula>0.599</formula>
    </cfRule>
  </conditionalFormatting>
  <conditionalFormatting sqref="G4">
    <cfRule type="cellIs" dxfId="89" priority="16" operator="greaterThan">
      <formula>0.8</formula>
    </cfRule>
    <cfRule type="cellIs" dxfId="88" priority="17" operator="between">
      <formula>0.6</formula>
      <formula>0.799</formula>
    </cfRule>
    <cfRule type="cellIs" dxfId="87" priority="18" operator="lessThan">
      <formula>0.599</formula>
    </cfRule>
  </conditionalFormatting>
  <conditionalFormatting sqref="N4">
    <cfRule type="cellIs" dxfId="86" priority="13" operator="greaterThan">
      <formula>0.8</formula>
    </cfRule>
    <cfRule type="cellIs" dxfId="85" priority="14" operator="between">
      <formula>0.6</formula>
      <formula>0.799</formula>
    </cfRule>
    <cfRule type="cellIs" dxfId="84" priority="15" operator="lessThan">
      <formula>0.599</formula>
    </cfRule>
  </conditionalFormatting>
  <conditionalFormatting sqref="V4">
    <cfRule type="cellIs" dxfId="83" priority="10" operator="greaterThan">
      <formula>0.8</formula>
    </cfRule>
    <cfRule type="cellIs" dxfId="82" priority="11" operator="between">
      <formula>0.6</formula>
      <formula>0.799</formula>
    </cfRule>
    <cfRule type="cellIs" dxfId="81" priority="12" operator="lessThan">
      <formula>0.599</formula>
    </cfRule>
  </conditionalFormatting>
  <conditionalFormatting sqref="F10">
    <cfRule type="cellIs" dxfId="80" priority="7" operator="greaterThan">
      <formula>0.8</formula>
    </cfRule>
    <cfRule type="cellIs" dxfId="79" priority="8" operator="between">
      <formula>0.6</formula>
      <formula>0.799</formula>
    </cfRule>
    <cfRule type="cellIs" dxfId="78" priority="9" operator="lessThan">
      <formula>0.599</formula>
    </cfRule>
  </conditionalFormatting>
  <conditionalFormatting sqref="S13">
    <cfRule type="cellIs" dxfId="77" priority="4" operator="greaterThan">
      <formula>0.8</formula>
    </cfRule>
    <cfRule type="cellIs" dxfId="76" priority="5" operator="between">
      <formula>0.6</formula>
      <formula>0.799</formula>
    </cfRule>
    <cfRule type="cellIs" dxfId="75" priority="6" operator="lessThan">
      <formula>0.599</formula>
    </cfRule>
  </conditionalFormatting>
  <conditionalFormatting sqref="L11">
    <cfRule type="cellIs" dxfId="74" priority="1" operator="greaterThan">
      <formula>0.8</formula>
    </cfRule>
    <cfRule type="cellIs" dxfId="73" priority="2" operator="between">
      <formula>0.6</formula>
      <formula>0.799</formula>
    </cfRule>
    <cfRule type="cellIs" dxfId="72" priority="3" operator="lessThan">
      <formula>0.599</formula>
    </cfRule>
  </conditionalFormatting>
  <hyperlinks>
    <hyperlink ref="O7:Q7" location="'Integración SI'!A1" display="Programa de  integración del sistema de información " xr:uid="{00000000-0004-0000-0300-000000000000}"/>
    <hyperlink ref="O12:Q12" location="'Gestion Investigación'!A1" display="Programa de Investigación, Docencia e Innovación" xr:uid="{00000000-0004-0000-0300-000001000000}"/>
    <hyperlink ref="O6:Q6" location="MIPG!A1" display="Índice de Desempeño Institucional" xr:uid="{00000000-0004-0000-0300-000002000000}"/>
    <hyperlink ref="O9:Q9" location="'ISO 140012015'!A1" display="Cumplimiento de los requisitos de la norma  ISO 14001:2015" xr:uid="{00000000-0004-0000-0300-000003000000}"/>
    <hyperlink ref="B6:D6" location="PEGIF!A1" display="Programa de gestión institucional de los recursos financieros (PEGIF) " xr:uid="{00000000-0004-0000-0300-000004000000}"/>
    <hyperlink ref="B7:D7" location="Costos!A1" display="Programa Gestión de Sistema de Costos" xr:uid="{00000000-0004-0000-0300-000005000000}"/>
    <hyperlink ref="B9:D9" location="'Construcción-Adecuación'!A1" display="Programa  de adecuación y mejoramiento de infraestructura física" xr:uid="{00000000-0004-0000-0300-000006000000}"/>
    <hyperlink ref="O8:Q8" location="'Gestión Tecnología'!A1" display="Programa de Gestión de tecnología y  dotación Hospitalaria." xr:uid="{00000000-0004-0000-0300-000007000000}"/>
    <hyperlink ref="O11:Q11" location="'ISO 90012015'!A1" display="Cumplimiento de los requisitos de la norma   ISO 9001:2015" xr:uid="{00000000-0004-0000-0300-000008000000}"/>
    <hyperlink ref="B8:D8" location="'Prevención Daño Ant'!A1" display="Fortalecimiento de la gestión del riesgo y prevención del daño antijurídico de la entidad" xr:uid="{00000000-0004-0000-0300-000009000000}"/>
    <hyperlink ref="B10:D10" location="PEGITH!A1" display="Programa de Gestión integral y bienestar del talento humano  que impacten en la  calidad de la  atención del usuario y su familia. " xr:uid="{00000000-0004-0000-0300-00000A000000}"/>
    <hyperlink ref="O13:Q13" location="Acreditación!A1" display="Fortalecer la  implementación del proceso de acreditación frente al  despliegue y aplicación del enfoque y extensión a los clientes  interno y externo." xr:uid="{00000000-0004-0000-0300-00000B000000}"/>
    <hyperlink ref="O10:Q10" location="'ISO 450012018'!A1" display=" Cumplimiento de los requisitos de la norma  ISO 45001:2018" xr:uid="{00000000-0004-0000-0300-00000C000000}"/>
    <hyperlink ref="H6:J7" location="'Modelo Atención'!A1" display="Modelo de atención articulado con los procesos institucionales, generando una implementación oportuna, pertinente, segura e integral para el Usuario y su familia." xr:uid="{00000000-0004-0000-0300-00000D000000}"/>
    <hyperlink ref="H8:J8" location="'Seguridad Paciente'!A1" display="Programa de Seguridad del Paciente bajo el enfoque de adaptación y mitigación de riesgos  " xr:uid="{00000000-0004-0000-0300-00000E000000}"/>
    <hyperlink ref="H9:J9" location="'Alta Complejidad'!A1" display="Programa integralidad de alta complejidad y seguimiento  comunitario." xr:uid="{00000000-0004-0000-0300-00000F000000}"/>
    <hyperlink ref="H10:J10" location="'BPE - BPM'!A1" display="Cumplimiento de requisitos de Buenas practicas de elaboración  y Manufactura" xr:uid="{00000000-0004-0000-0300-000010000000}"/>
    <hyperlink ref="H11:J11" location="'Programa Humanizacion'!A1" display="Programa de Humanización que involucre la sensibilización del talento humano con enfoque tanto para cliente interno" xr:uid="{00000000-0004-0000-0300-000011000000}"/>
  </hyperlinks>
  <pageMargins left="0.70866141732283472" right="0.70866141732283472" top="0.74803149606299213" bottom="0.74803149606299213" header="0.31496062992125984" footer="0.31496062992125984"/>
  <pageSetup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5"/>
  <dimension ref="B1:AA40"/>
  <sheetViews>
    <sheetView view="pageBreakPreview" zoomScale="90" zoomScaleNormal="100" zoomScaleSheetLayoutView="90" workbookViewId="0">
      <selection activeCell="Q11" sqref="Q11"/>
    </sheetView>
  </sheetViews>
  <sheetFormatPr baseColWidth="10" defaultRowHeight="15" x14ac:dyDescent="0.25"/>
  <cols>
    <col min="1" max="1" width="4.7109375" customWidth="1"/>
    <col min="2" max="2" width="9.28515625" customWidth="1"/>
    <col min="3" max="3" width="48" customWidth="1"/>
    <col min="4" max="4" width="23.7109375" style="49" customWidth="1"/>
    <col min="5" max="6" width="3.28515625" style="50" customWidth="1"/>
    <col min="7" max="7" width="3.7109375" style="50" customWidth="1"/>
    <col min="8" max="12" width="3.28515625" style="50" customWidth="1"/>
    <col min="13" max="13" width="4.28515625" style="50" customWidth="1"/>
    <col min="14" max="14" width="4.140625" style="50" customWidth="1"/>
    <col min="15" max="23" width="4.28515625" style="50" customWidth="1"/>
    <col min="24" max="24" width="5.140625" style="50" customWidth="1"/>
    <col min="25" max="25" width="4.85546875" style="50" customWidth="1"/>
    <col min="26" max="26" width="4.5703125" style="50" customWidth="1"/>
    <col min="27" max="27" width="23.7109375" style="49" customWidth="1"/>
  </cols>
  <sheetData>
    <row r="1" spans="2:27" ht="99.75" customHeight="1" x14ac:dyDescent="0.25">
      <c r="E1" s="265" t="s">
        <v>524</v>
      </c>
      <c r="F1" s="266" t="s">
        <v>525</v>
      </c>
      <c r="G1" s="266" t="s">
        <v>529</v>
      </c>
      <c r="H1" s="266" t="s">
        <v>530</v>
      </c>
      <c r="I1" s="266" t="s">
        <v>532</v>
      </c>
      <c r="J1" s="266" t="s">
        <v>533</v>
      </c>
      <c r="K1" s="266" t="s">
        <v>534</v>
      </c>
      <c r="L1" s="267" t="s">
        <v>535</v>
      </c>
      <c r="M1" s="266" t="s">
        <v>537</v>
      </c>
      <c r="N1" s="266" t="s">
        <v>538</v>
      </c>
      <c r="O1" s="267" t="s">
        <v>539</v>
      </c>
      <c r="P1" s="266" t="s">
        <v>540</v>
      </c>
      <c r="Q1" s="266" t="s">
        <v>541</v>
      </c>
      <c r="R1" s="266" t="s">
        <v>544</v>
      </c>
      <c r="S1" s="266" t="s">
        <v>545</v>
      </c>
      <c r="T1" s="266" t="s">
        <v>546</v>
      </c>
      <c r="U1" s="266" t="s">
        <v>547</v>
      </c>
      <c r="V1" s="266" t="s">
        <v>548</v>
      </c>
      <c r="W1" s="267" t="s">
        <v>549</v>
      </c>
      <c r="X1" s="266" t="s">
        <v>550</v>
      </c>
      <c r="Y1" s="266" t="s">
        <v>551</v>
      </c>
      <c r="Z1" s="266" t="s">
        <v>552</v>
      </c>
    </row>
    <row r="2" spans="2:27" ht="21" customHeight="1" x14ac:dyDescent="0.25">
      <c r="B2" s="582" t="s">
        <v>234</v>
      </c>
      <c r="C2" s="582" t="s">
        <v>235</v>
      </c>
      <c r="D2" s="583" t="s">
        <v>236</v>
      </c>
      <c r="E2" s="580" t="s">
        <v>263</v>
      </c>
      <c r="F2" s="580" t="s">
        <v>264</v>
      </c>
      <c r="G2" s="580" t="s">
        <v>265</v>
      </c>
      <c r="H2" s="580" t="s">
        <v>266</v>
      </c>
      <c r="I2" s="580" t="s">
        <v>531</v>
      </c>
      <c r="J2" s="580" t="s">
        <v>267</v>
      </c>
      <c r="K2" s="580" t="s">
        <v>268</v>
      </c>
      <c r="L2" s="580" t="s">
        <v>269</v>
      </c>
      <c r="M2" s="580" t="s">
        <v>270</v>
      </c>
      <c r="N2" s="580" t="s">
        <v>271</v>
      </c>
      <c r="O2" s="580" t="s">
        <v>272</v>
      </c>
      <c r="P2" s="580" t="s">
        <v>273</v>
      </c>
      <c r="Q2" s="580" t="s">
        <v>274</v>
      </c>
      <c r="R2" s="580" t="s">
        <v>275</v>
      </c>
      <c r="S2" s="580" t="s">
        <v>276</v>
      </c>
      <c r="T2" s="580" t="s">
        <v>277</v>
      </c>
      <c r="U2" s="580" t="s">
        <v>278</v>
      </c>
      <c r="V2" s="580" t="s">
        <v>279</v>
      </c>
      <c r="W2" s="580" t="s">
        <v>280</v>
      </c>
      <c r="X2" s="580" t="s">
        <v>281</v>
      </c>
      <c r="Y2" s="580" t="s">
        <v>282</v>
      </c>
      <c r="Z2" s="580" t="s">
        <v>283</v>
      </c>
      <c r="AA2" s="578" t="s">
        <v>197</v>
      </c>
    </row>
    <row r="3" spans="2:27" x14ac:dyDescent="0.25">
      <c r="B3" s="582"/>
      <c r="C3" s="582"/>
      <c r="D3" s="583"/>
      <c r="E3" s="581"/>
      <c r="F3" s="581"/>
      <c r="G3" s="581"/>
      <c r="H3" s="581"/>
      <c r="I3" s="581"/>
      <c r="J3" s="581"/>
      <c r="K3" s="581"/>
      <c r="L3" s="581"/>
      <c r="M3" s="581"/>
      <c r="N3" s="581"/>
      <c r="O3" s="581"/>
      <c r="P3" s="581"/>
      <c r="Q3" s="581"/>
      <c r="R3" s="581"/>
      <c r="S3" s="581"/>
      <c r="T3" s="581"/>
      <c r="U3" s="581"/>
      <c r="V3" s="581"/>
      <c r="W3" s="581"/>
      <c r="X3" s="581"/>
      <c r="Y3" s="581"/>
      <c r="Z3" s="581"/>
      <c r="AA3" s="579"/>
    </row>
    <row r="4" spans="2:27" ht="56.25" customHeight="1" x14ac:dyDescent="0.25">
      <c r="B4" s="51">
        <v>1</v>
      </c>
      <c r="C4" s="52"/>
      <c r="D4" s="53" t="s">
        <v>237</v>
      </c>
      <c r="E4" s="54" t="s">
        <v>238</v>
      </c>
      <c r="F4" s="54"/>
      <c r="G4" s="54" t="s">
        <v>238</v>
      </c>
      <c r="H4" s="54"/>
      <c r="I4" s="54"/>
      <c r="J4" s="54"/>
      <c r="K4" s="54"/>
      <c r="L4" s="54"/>
      <c r="M4" s="54" t="s">
        <v>238</v>
      </c>
      <c r="N4" s="54"/>
      <c r="O4" s="54"/>
      <c r="P4" s="54"/>
      <c r="Q4" s="54"/>
      <c r="R4" s="54"/>
      <c r="S4" s="54"/>
      <c r="T4" s="54"/>
      <c r="U4" s="54"/>
      <c r="V4" s="54"/>
      <c r="W4" s="54"/>
      <c r="X4" s="54"/>
      <c r="Y4" s="54"/>
      <c r="Z4" s="54"/>
      <c r="AA4" s="53"/>
    </row>
    <row r="5" spans="2:27" ht="27.75" customHeight="1" x14ac:dyDescent="0.25">
      <c r="B5" s="51">
        <v>2</v>
      </c>
      <c r="C5" s="52"/>
      <c r="D5" s="53" t="s">
        <v>287</v>
      </c>
      <c r="E5" s="54"/>
      <c r="F5" s="54"/>
      <c r="G5" s="54"/>
      <c r="H5" s="54"/>
      <c r="I5" s="54"/>
      <c r="J5" s="54"/>
      <c r="K5" s="54"/>
      <c r="L5" s="54"/>
      <c r="M5" s="54" t="s">
        <v>238</v>
      </c>
      <c r="N5" s="54"/>
      <c r="O5" s="54"/>
      <c r="P5" s="54"/>
      <c r="Q5" s="54"/>
      <c r="R5" s="54"/>
      <c r="S5" s="54"/>
      <c r="T5" s="54"/>
      <c r="U5" s="54"/>
      <c r="V5" s="54"/>
      <c r="W5" s="54" t="s">
        <v>238</v>
      </c>
      <c r="X5" s="54" t="s">
        <v>238</v>
      </c>
      <c r="Y5" s="54" t="s">
        <v>238</v>
      </c>
      <c r="Z5" s="54" t="s">
        <v>238</v>
      </c>
      <c r="AA5" s="53"/>
    </row>
    <row r="6" spans="2:27" ht="19.5" customHeight="1" x14ac:dyDescent="0.25">
      <c r="B6" s="51">
        <v>3</v>
      </c>
      <c r="C6" s="52"/>
      <c r="D6" s="53" t="s">
        <v>239</v>
      </c>
      <c r="E6" s="54"/>
      <c r="F6" s="54"/>
      <c r="G6" s="54" t="s">
        <v>238</v>
      </c>
      <c r="H6" s="54"/>
      <c r="I6" s="54"/>
      <c r="J6" s="54"/>
      <c r="K6" s="54"/>
      <c r="L6" s="54"/>
      <c r="M6" s="54" t="s">
        <v>238</v>
      </c>
      <c r="N6" s="54"/>
      <c r="O6" s="54"/>
      <c r="P6" s="54"/>
      <c r="Q6" s="54" t="s">
        <v>238</v>
      </c>
      <c r="R6" s="54"/>
      <c r="S6" s="54"/>
      <c r="T6" s="54"/>
      <c r="U6" s="54"/>
      <c r="V6" s="54"/>
      <c r="W6" s="54"/>
      <c r="X6" s="54"/>
      <c r="Y6" s="54"/>
      <c r="Z6" s="54"/>
      <c r="AA6" s="53"/>
    </row>
    <row r="7" spans="2:27" ht="18.75" customHeight="1" x14ac:dyDescent="0.25">
      <c r="B7" s="51">
        <v>4</v>
      </c>
      <c r="C7" s="52"/>
      <c r="D7" s="53" t="s">
        <v>240</v>
      </c>
      <c r="E7" s="54"/>
      <c r="F7" s="54"/>
      <c r="G7" s="54"/>
      <c r="H7" s="54"/>
      <c r="I7" s="54"/>
      <c r="J7" s="54"/>
      <c r="K7" s="54"/>
      <c r="L7" s="54"/>
      <c r="M7" s="54"/>
      <c r="N7" s="54"/>
      <c r="O7" s="54"/>
      <c r="P7" s="54"/>
      <c r="Q7" s="54"/>
      <c r="R7" s="54"/>
      <c r="S7" s="54"/>
      <c r="T7" s="54"/>
      <c r="U7" s="54"/>
      <c r="V7" s="54"/>
      <c r="W7" s="54"/>
      <c r="X7" s="54"/>
      <c r="Y7" s="54"/>
      <c r="Z7" s="54"/>
      <c r="AA7" s="53"/>
    </row>
    <row r="8" spans="2:27" ht="17.25" customHeight="1" x14ac:dyDescent="0.25">
      <c r="B8" s="51"/>
      <c r="C8" s="52"/>
      <c r="D8" s="53" t="s">
        <v>284</v>
      </c>
      <c r="E8" s="54"/>
      <c r="F8" s="54"/>
      <c r="G8" s="54" t="s">
        <v>238</v>
      </c>
      <c r="H8" s="54"/>
      <c r="I8" s="54"/>
      <c r="J8" s="54"/>
      <c r="K8" s="54"/>
      <c r="L8" s="54" t="s">
        <v>238</v>
      </c>
      <c r="M8" s="54"/>
      <c r="N8" s="54"/>
      <c r="O8" s="54"/>
      <c r="P8" s="54"/>
      <c r="Q8" s="54"/>
      <c r="R8" s="54"/>
      <c r="S8" s="54"/>
      <c r="T8" s="54" t="s">
        <v>238</v>
      </c>
      <c r="U8" s="54"/>
      <c r="V8" s="54"/>
      <c r="W8" s="54"/>
      <c r="X8" s="54"/>
      <c r="Y8" s="54"/>
      <c r="Z8" s="54"/>
      <c r="AA8" s="53"/>
    </row>
    <row r="9" spans="2:27" ht="17.25" customHeight="1" x14ac:dyDescent="0.25">
      <c r="B9" s="51"/>
      <c r="C9" s="52"/>
      <c r="D9" s="53" t="s">
        <v>285</v>
      </c>
      <c r="E9" s="54"/>
      <c r="F9" s="54"/>
      <c r="G9" s="54" t="s">
        <v>238</v>
      </c>
      <c r="H9" s="54"/>
      <c r="I9" s="54"/>
      <c r="J9" s="54"/>
      <c r="K9" s="54"/>
      <c r="L9" s="54"/>
      <c r="M9" s="54"/>
      <c r="N9" s="54"/>
      <c r="O9" s="54"/>
      <c r="P9" s="54"/>
      <c r="Q9" s="54" t="s">
        <v>238</v>
      </c>
      <c r="R9" s="54"/>
      <c r="S9" s="54" t="s">
        <v>238</v>
      </c>
      <c r="T9" s="54"/>
      <c r="U9" s="54"/>
      <c r="V9" s="54"/>
      <c r="W9" s="54"/>
      <c r="X9" s="54"/>
      <c r="Y9" s="54"/>
      <c r="Z9" s="54"/>
      <c r="AA9" s="53"/>
    </row>
    <row r="10" spans="2:27" ht="17.25" customHeight="1" x14ac:dyDescent="0.25">
      <c r="B10" s="51"/>
      <c r="C10" s="52"/>
      <c r="D10" s="53" t="s">
        <v>286</v>
      </c>
      <c r="E10" s="54"/>
      <c r="F10" s="54"/>
      <c r="G10" s="54" t="s">
        <v>238</v>
      </c>
      <c r="H10" s="54"/>
      <c r="I10" s="54"/>
      <c r="J10" s="54"/>
      <c r="K10" s="54"/>
      <c r="L10" s="54"/>
      <c r="M10" s="54"/>
      <c r="N10" s="54"/>
      <c r="O10" s="54"/>
      <c r="P10" s="54"/>
      <c r="Q10" s="54" t="s">
        <v>238</v>
      </c>
      <c r="R10" s="54" t="s">
        <v>238</v>
      </c>
      <c r="S10" s="54"/>
      <c r="T10" s="54"/>
      <c r="U10" s="54"/>
      <c r="V10" s="54"/>
      <c r="W10" s="54"/>
      <c r="X10" s="54"/>
      <c r="Y10" s="54"/>
      <c r="Z10" s="54"/>
      <c r="AA10" s="53"/>
    </row>
    <row r="11" spans="2:27" ht="28.5" customHeight="1" x14ac:dyDescent="0.25">
      <c r="B11" s="51">
        <v>5</v>
      </c>
      <c r="C11" s="52"/>
      <c r="D11" s="131" t="s">
        <v>241</v>
      </c>
      <c r="E11" s="54"/>
      <c r="F11" s="54"/>
      <c r="G11" s="54"/>
      <c r="H11" s="54"/>
      <c r="I11" s="54"/>
      <c r="J11" s="54"/>
      <c r="K11" s="54"/>
      <c r="L11" s="54"/>
      <c r="M11" s="54"/>
      <c r="N11" s="54"/>
      <c r="O11" s="54"/>
      <c r="P11" s="54"/>
      <c r="Q11" s="54"/>
      <c r="R11" s="54"/>
      <c r="S11" s="54"/>
      <c r="T11" s="54"/>
      <c r="U11" s="54"/>
      <c r="V11" s="54"/>
      <c r="W11" s="54"/>
      <c r="X11" s="54"/>
      <c r="Y11" s="54"/>
      <c r="Z11" s="54"/>
      <c r="AA11" s="53"/>
    </row>
    <row r="12" spans="2:27" x14ac:dyDescent="0.25">
      <c r="B12" s="51">
        <v>6</v>
      </c>
      <c r="C12" s="52"/>
      <c r="D12" s="131" t="s">
        <v>242</v>
      </c>
      <c r="E12" s="54" t="s">
        <v>238</v>
      </c>
      <c r="F12" s="54" t="s">
        <v>238</v>
      </c>
      <c r="G12" s="54"/>
      <c r="H12" s="54"/>
      <c r="I12" s="54"/>
      <c r="J12" s="54"/>
      <c r="K12" s="54"/>
      <c r="L12" s="54"/>
      <c r="M12" s="54"/>
      <c r="N12" s="54"/>
      <c r="O12" s="54"/>
      <c r="P12" s="54"/>
      <c r="Q12" s="54"/>
      <c r="R12" s="54"/>
      <c r="S12" s="54"/>
      <c r="T12" s="54"/>
      <c r="U12" s="54"/>
      <c r="V12" s="54"/>
      <c r="W12" s="54"/>
      <c r="X12" s="54"/>
      <c r="Y12" s="54"/>
      <c r="Z12" s="54"/>
      <c r="AA12" s="53"/>
    </row>
    <row r="13" spans="2:27" x14ac:dyDescent="0.25">
      <c r="B13" s="51">
        <v>7</v>
      </c>
      <c r="C13" s="52"/>
      <c r="D13" s="131" t="s">
        <v>243</v>
      </c>
      <c r="E13" s="54"/>
      <c r="F13" s="54"/>
      <c r="G13" s="54"/>
      <c r="H13" s="54"/>
      <c r="I13" s="54"/>
      <c r="J13" s="54"/>
      <c r="K13" s="54"/>
      <c r="L13" s="54"/>
      <c r="M13" s="54"/>
      <c r="N13" s="54"/>
      <c r="O13" s="54"/>
      <c r="P13" s="54"/>
      <c r="Q13" s="54" t="s">
        <v>238</v>
      </c>
      <c r="R13" s="54"/>
      <c r="S13" s="54"/>
      <c r="T13" s="54"/>
      <c r="U13" s="54"/>
      <c r="V13" s="54"/>
      <c r="W13" s="54"/>
      <c r="X13" s="54"/>
      <c r="Y13" s="54"/>
      <c r="Z13" s="54"/>
      <c r="AA13" s="53"/>
    </row>
    <row r="14" spans="2:27" x14ac:dyDescent="0.25">
      <c r="B14" s="51">
        <v>8</v>
      </c>
      <c r="C14" s="52"/>
      <c r="D14" s="131" t="s">
        <v>244</v>
      </c>
      <c r="E14" s="54"/>
      <c r="F14" s="54"/>
      <c r="G14" s="54"/>
      <c r="H14" s="54"/>
      <c r="I14" s="54"/>
      <c r="J14" s="54"/>
      <c r="K14" s="54"/>
      <c r="L14" s="54"/>
      <c r="M14" s="54"/>
      <c r="N14" s="54"/>
      <c r="O14" s="54"/>
      <c r="P14" s="54"/>
      <c r="Q14" s="54" t="s">
        <v>238</v>
      </c>
      <c r="R14" s="54"/>
      <c r="S14" s="54"/>
      <c r="T14" s="54"/>
      <c r="U14" s="54" t="s">
        <v>238</v>
      </c>
      <c r="V14" s="54" t="s">
        <v>238</v>
      </c>
      <c r="W14" s="54"/>
      <c r="X14" s="54"/>
      <c r="Y14" s="54"/>
      <c r="Z14" s="54"/>
      <c r="AA14" s="53"/>
    </row>
    <row r="15" spans="2:27" ht="22.5" x14ac:dyDescent="0.25">
      <c r="B15" s="51">
        <v>9</v>
      </c>
      <c r="C15" s="52"/>
      <c r="D15" s="131" t="s">
        <v>245</v>
      </c>
      <c r="E15" s="54"/>
      <c r="F15" s="54" t="s">
        <v>238</v>
      </c>
      <c r="G15" s="54"/>
      <c r="H15" s="54"/>
      <c r="I15" s="54"/>
      <c r="J15" s="54"/>
      <c r="K15" s="54"/>
      <c r="L15" s="54"/>
      <c r="M15" s="54"/>
      <c r="N15" s="54" t="s">
        <v>238</v>
      </c>
      <c r="O15" s="54"/>
      <c r="P15" s="54"/>
      <c r="Q15" s="54"/>
      <c r="R15" s="54"/>
      <c r="S15" s="54"/>
      <c r="T15" s="54"/>
      <c r="U15" s="54"/>
      <c r="V15" s="54"/>
      <c r="W15" s="54"/>
      <c r="X15" s="54"/>
      <c r="Y15" s="54"/>
      <c r="Z15" s="54"/>
      <c r="AA15" s="53"/>
    </row>
    <row r="16" spans="2:27" ht="22.5" x14ac:dyDescent="0.25">
      <c r="B16" s="51"/>
      <c r="C16" s="52"/>
      <c r="D16" s="131" t="s">
        <v>481</v>
      </c>
      <c r="E16" s="54"/>
      <c r="F16" s="54"/>
      <c r="G16" s="54"/>
      <c r="H16" s="54"/>
      <c r="I16" s="54"/>
      <c r="J16" s="54"/>
      <c r="K16" s="54"/>
      <c r="L16" s="54"/>
      <c r="M16" s="54"/>
      <c r="N16" s="54" t="s">
        <v>238</v>
      </c>
      <c r="O16" s="54"/>
      <c r="P16" s="54"/>
      <c r="Q16" s="54"/>
      <c r="R16" s="54"/>
      <c r="S16" s="54"/>
      <c r="T16" s="54"/>
      <c r="U16" s="54"/>
      <c r="V16" s="54"/>
      <c r="W16" s="54"/>
      <c r="X16" s="54"/>
      <c r="Y16" s="54"/>
      <c r="Z16" s="54"/>
      <c r="AA16" s="53"/>
    </row>
    <row r="17" spans="2:27" x14ac:dyDescent="0.25">
      <c r="B17" s="51"/>
      <c r="C17" s="52"/>
      <c r="D17" s="131" t="s">
        <v>543</v>
      </c>
      <c r="E17" s="54"/>
      <c r="F17" s="54"/>
      <c r="G17" s="54"/>
      <c r="H17" s="54"/>
      <c r="I17" s="54"/>
      <c r="J17" s="54"/>
      <c r="K17" s="54"/>
      <c r="L17" s="54"/>
      <c r="M17" s="54"/>
      <c r="N17" s="54"/>
      <c r="O17" s="54"/>
      <c r="P17" s="54"/>
      <c r="Q17" s="54" t="s">
        <v>238</v>
      </c>
      <c r="R17" s="54"/>
      <c r="S17" s="54"/>
      <c r="T17" s="54"/>
      <c r="U17" s="54"/>
      <c r="V17" s="54"/>
      <c r="W17" s="54"/>
      <c r="X17" s="54"/>
      <c r="Y17" s="54"/>
      <c r="Z17" s="54"/>
      <c r="AA17" s="53"/>
    </row>
    <row r="18" spans="2:27" x14ac:dyDescent="0.25">
      <c r="B18" s="51"/>
      <c r="C18" s="52"/>
      <c r="D18" s="131" t="s">
        <v>527</v>
      </c>
      <c r="E18" s="54"/>
      <c r="F18" s="54" t="s">
        <v>238</v>
      </c>
      <c r="G18" s="54"/>
      <c r="H18" s="54"/>
      <c r="I18" s="54"/>
      <c r="J18" s="54" t="s">
        <v>238</v>
      </c>
      <c r="K18" s="54"/>
      <c r="L18" s="54"/>
      <c r="M18" s="54"/>
      <c r="N18" s="54"/>
      <c r="O18" s="54"/>
      <c r="P18" s="54"/>
      <c r="Q18" s="54"/>
      <c r="R18" s="54"/>
      <c r="S18" s="54"/>
      <c r="T18" s="54"/>
      <c r="U18" s="54"/>
      <c r="V18" s="54"/>
      <c r="W18" s="54"/>
      <c r="X18" s="54"/>
      <c r="Y18" s="54"/>
      <c r="Z18" s="54"/>
      <c r="AA18" s="53"/>
    </row>
    <row r="19" spans="2:27" ht="26.25" customHeight="1" x14ac:dyDescent="0.25">
      <c r="B19" s="51"/>
      <c r="C19" s="52"/>
      <c r="D19" s="131" t="s">
        <v>536</v>
      </c>
      <c r="E19" s="54"/>
      <c r="F19" s="54"/>
      <c r="G19" s="54"/>
      <c r="H19" s="54"/>
      <c r="I19" s="54"/>
      <c r="J19" s="54"/>
      <c r="K19" s="54"/>
      <c r="L19" s="54" t="s">
        <v>238</v>
      </c>
      <c r="M19" s="54"/>
      <c r="N19" s="54"/>
      <c r="O19" s="54"/>
      <c r="P19" s="54"/>
      <c r="Q19" s="54"/>
      <c r="R19" s="54"/>
      <c r="S19" s="54"/>
      <c r="T19" s="54"/>
      <c r="U19" s="54"/>
      <c r="V19" s="54"/>
      <c r="W19" s="54"/>
      <c r="X19" s="54"/>
      <c r="Y19" s="54"/>
      <c r="Z19" s="54"/>
      <c r="AA19" s="53"/>
    </row>
    <row r="20" spans="2:27" x14ac:dyDescent="0.25">
      <c r="B20" s="51">
        <v>11</v>
      </c>
      <c r="C20" s="52"/>
      <c r="D20" s="131" t="s">
        <v>247</v>
      </c>
      <c r="E20" s="54"/>
      <c r="F20" s="54"/>
      <c r="G20" s="54"/>
      <c r="H20" s="54"/>
      <c r="I20" s="54"/>
      <c r="J20" s="54"/>
      <c r="K20" s="54"/>
      <c r="L20" s="54"/>
      <c r="M20" s="54" t="s">
        <v>238</v>
      </c>
      <c r="N20" s="54"/>
      <c r="O20" s="54"/>
      <c r="P20" s="54"/>
      <c r="Q20" s="54"/>
      <c r="R20" s="54"/>
      <c r="S20" s="54"/>
      <c r="T20" s="54"/>
      <c r="U20" s="54"/>
      <c r="V20" s="54"/>
      <c r="W20" s="54"/>
      <c r="X20" s="54"/>
      <c r="Y20" s="54"/>
      <c r="Z20" s="54"/>
      <c r="AA20" s="53"/>
    </row>
    <row r="21" spans="2:27" x14ac:dyDescent="0.25">
      <c r="B21" s="51">
        <v>12</v>
      </c>
      <c r="C21" s="52"/>
      <c r="D21" s="131" t="s">
        <v>248</v>
      </c>
      <c r="E21" s="54" t="s">
        <v>238</v>
      </c>
      <c r="F21" s="54" t="s">
        <v>238</v>
      </c>
      <c r="G21" s="54"/>
      <c r="H21" s="54"/>
      <c r="I21" s="54"/>
      <c r="J21" s="54"/>
      <c r="K21" s="54"/>
      <c r="L21" s="54"/>
      <c r="M21" s="54"/>
      <c r="N21" s="54"/>
      <c r="O21" s="54"/>
      <c r="P21" s="54"/>
      <c r="Q21" s="54"/>
      <c r="R21" s="54"/>
      <c r="S21" s="54"/>
      <c r="T21" s="54"/>
      <c r="U21" s="54"/>
      <c r="V21" s="54"/>
      <c r="W21" s="54"/>
      <c r="X21" s="54"/>
      <c r="Y21" s="54"/>
      <c r="Z21" s="54"/>
      <c r="AA21" s="53"/>
    </row>
    <row r="22" spans="2:27" ht="22.5" x14ac:dyDescent="0.25">
      <c r="B22" s="51">
        <v>13</v>
      </c>
      <c r="C22" s="52"/>
      <c r="D22" s="131" t="s">
        <v>249</v>
      </c>
      <c r="E22" s="54" t="s">
        <v>238</v>
      </c>
      <c r="F22" s="54" t="s">
        <v>238</v>
      </c>
      <c r="G22" s="54"/>
      <c r="H22" s="54"/>
      <c r="I22" s="54"/>
      <c r="J22" s="54"/>
      <c r="K22" s="54"/>
      <c r="L22" s="54"/>
      <c r="M22" s="54"/>
      <c r="N22" s="54"/>
      <c r="O22" s="54"/>
      <c r="P22" s="54"/>
      <c r="Q22" s="54" t="s">
        <v>238</v>
      </c>
      <c r="R22" s="54"/>
      <c r="S22" s="54"/>
      <c r="T22" s="54"/>
      <c r="U22" s="54"/>
      <c r="V22" s="54"/>
      <c r="W22" s="54"/>
      <c r="X22" s="54"/>
      <c r="Y22" s="54"/>
      <c r="Z22" s="54"/>
      <c r="AA22" s="53"/>
    </row>
    <row r="23" spans="2:27" ht="22.5" x14ac:dyDescent="0.25">
      <c r="B23" s="51">
        <v>14</v>
      </c>
      <c r="C23" s="52"/>
      <c r="D23" s="131" t="s">
        <v>250</v>
      </c>
      <c r="E23" s="54" t="s">
        <v>238</v>
      </c>
      <c r="F23" s="54" t="s">
        <v>238</v>
      </c>
      <c r="G23" s="54"/>
      <c r="H23" s="54"/>
      <c r="I23" s="54"/>
      <c r="J23" s="54"/>
      <c r="K23" s="54"/>
      <c r="L23" s="54"/>
      <c r="M23" s="54"/>
      <c r="N23" s="54"/>
      <c r="O23" s="54"/>
      <c r="P23" s="54"/>
      <c r="Q23" s="54" t="s">
        <v>238</v>
      </c>
      <c r="R23" s="54"/>
      <c r="S23" s="54"/>
      <c r="T23" s="54"/>
      <c r="U23" s="54"/>
      <c r="V23" s="54"/>
      <c r="W23" s="54"/>
      <c r="X23" s="54"/>
      <c r="Y23" s="54"/>
      <c r="Z23" s="54"/>
      <c r="AA23" s="53"/>
    </row>
    <row r="24" spans="2:27" ht="26.25" customHeight="1" x14ac:dyDescent="0.25">
      <c r="B24" s="51">
        <v>15</v>
      </c>
      <c r="C24" s="52"/>
      <c r="D24" s="131" t="s">
        <v>251</v>
      </c>
      <c r="E24" s="54" t="s">
        <v>238</v>
      </c>
      <c r="F24" s="54" t="s">
        <v>238</v>
      </c>
      <c r="G24" s="54"/>
      <c r="H24" s="54"/>
      <c r="I24" s="54"/>
      <c r="J24" s="54"/>
      <c r="K24" s="54"/>
      <c r="L24" s="54"/>
      <c r="M24" s="54"/>
      <c r="N24" s="54"/>
      <c r="O24" s="54"/>
      <c r="P24" s="54"/>
      <c r="Q24" s="54" t="s">
        <v>238</v>
      </c>
      <c r="R24" s="54"/>
      <c r="S24" s="54"/>
      <c r="T24" s="54"/>
      <c r="U24" s="54"/>
      <c r="V24" s="54"/>
      <c r="W24" s="54"/>
      <c r="X24" s="54"/>
      <c r="Y24" s="54"/>
      <c r="Z24" s="54"/>
      <c r="AA24" s="53"/>
    </row>
    <row r="25" spans="2:27" ht="26.25" customHeight="1" x14ac:dyDescent="0.25">
      <c r="B25" s="51"/>
      <c r="C25" s="52"/>
      <c r="D25" s="131" t="s">
        <v>433</v>
      </c>
      <c r="E25" s="54" t="s">
        <v>238</v>
      </c>
      <c r="F25" s="54"/>
      <c r="G25" s="54"/>
      <c r="H25" s="54"/>
      <c r="I25" s="54"/>
      <c r="J25" s="54"/>
      <c r="K25" s="54"/>
      <c r="L25" s="54"/>
      <c r="M25" s="54"/>
      <c r="N25" s="54"/>
      <c r="O25" s="54"/>
      <c r="P25" s="54"/>
      <c r="Q25" s="54"/>
      <c r="R25" s="54"/>
      <c r="S25" s="54"/>
      <c r="T25" s="54"/>
      <c r="U25" s="54"/>
      <c r="V25" s="54"/>
      <c r="W25" s="54"/>
      <c r="X25" s="54"/>
      <c r="Y25" s="54"/>
      <c r="Z25" s="54"/>
      <c r="AA25" s="53"/>
    </row>
    <row r="26" spans="2:27" ht="18" customHeight="1" x14ac:dyDescent="0.25">
      <c r="B26" s="51"/>
      <c r="C26" s="52"/>
      <c r="D26" s="131" t="s">
        <v>542</v>
      </c>
      <c r="E26" s="54"/>
      <c r="F26" s="54"/>
      <c r="G26" s="54"/>
      <c r="H26" s="54"/>
      <c r="I26" s="54"/>
      <c r="J26" s="54"/>
      <c r="K26" s="54"/>
      <c r="L26" s="54"/>
      <c r="M26" s="54"/>
      <c r="N26" s="54"/>
      <c r="O26" s="54"/>
      <c r="P26" s="54"/>
      <c r="Q26" s="54" t="s">
        <v>238</v>
      </c>
      <c r="R26" s="54"/>
      <c r="S26" s="54"/>
      <c r="T26" s="54"/>
      <c r="U26" s="54"/>
      <c r="V26" s="54"/>
      <c r="W26" s="54"/>
      <c r="X26" s="54"/>
      <c r="Y26" s="54"/>
      <c r="Z26" s="54"/>
      <c r="AA26" s="53"/>
    </row>
    <row r="27" spans="2:27" x14ac:dyDescent="0.25">
      <c r="B27" s="51">
        <v>16</v>
      </c>
      <c r="C27" s="52"/>
      <c r="D27" s="131" t="s">
        <v>252</v>
      </c>
      <c r="E27" s="54"/>
      <c r="F27" s="54"/>
      <c r="G27" s="54"/>
      <c r="H27" s="54"/>
      <c r="I27" s="54"/>
      <c r="J27" s="54"/>
      <c r="K27" s="54"/>
      <c r="L27" s="54"/>
      <c r="M27" s="54"/>
      <c r="N27" s="54"/>
      <c r="O27" s="54"/>
      <c r="P27" s="54"/>
      <c r="Q27" s="54"/>
      <c r="R27" s="54"/>
      <c r="S27" s="54"/>
      <c r="T27" s="54"/>
      <c r="U27" s="54"/>
      <c r="V27" s="54"/>
      <c r="W27" s="54"/>
      <c r="X27" s="54"/>
      <c r="Y27" s="54"/>
      <c r="Z27" s="54"/>
      <c r="AA27" s="53"/>
    </row>
    <row r="28" spans="2:27" x14ac:dyDescent="0.25">
      <c r="B28" s="51">
        <v>17</v>
      </c>
      <c r="C28" s="52"/>
      <c r="D28" s="131" t="s">
        <v>253</v>
      </c>
      <c r="E28" s="54"/>
      <c r="F28" s="54"/>
      <c r="G28" s="54"/>
      <c r="H28" s="54"/>
      <c r="I28" s="54"/>
      <c r="J28" s="54"/>
      <c r="K28" s="54"/>
      <c r="L28" s="54"/>
      <c r="M28" s="54"/>
      <c r="N28" s="54"/>
      <c r="O28" s="54"/>
      <c r="P28" s="54"/>
      <c r="Q28" s="54"/>
      <c r="R28" s="54"/>
      <c r="S28" s="54"/>
      <c r="T28" s="54"/>
      <c r="U28" s="54"/>
      <c r="V28" s="54"/>
      <c r="W28" s="54"/>
      <c r="X28" s="54"/>
      <c r="Y28" s="54"/>
      <c r="Z28" s="54"/>
      <c r="AA28" s="53"/>
    </row>
    <row r="29" spans="2:27" x14ac:dyDescent="0.25">
      <c r="B29" s="51"/>
      <c r="C29" s="52"/>
      <c r="D29" s="131" t="s">
        <v>229</v>
      </c>
      <c r="E29" s="54"/>
      <c r="F29" s="54"/>
      <c r="G29" s="54"/>
      <c r="H29" s="54"/>
      <c r="I29" s="54"/>
      <c r="J29" s="54" t="s">
        <v>238</v>
      </c>
      <c r="K29" s="54"/>
      <c r="L29" s="54"/>
      <c r="M29" s="54"/>
      <c r="N29" s="54"/>
      <c r="O29" s="54"/>
      <c r="P29" s="54"/>
      <c r="Q29" s="54"/>
      <c r="R29" s="54"/>
      <c r="S29" s="54"/>
      <c r="T29" s="54"/>
      <c r="U29" s="54"/>
      <c r="V29" s="54"/>
      <c r="W29" s="54"/>
      <c r="X29" s="54"/>
      <c r="Y29" s="54"/>
      <c r="Z29" s="54"/>
      <c r="AA29" s="53"/>
    </row>
    <row r="30" spans="2:27" x14ac:dyDescent="0.25">
      <c r="B30" s="51"/>
      <c r="C30" s="52"/>
      <c r="D30" s="131" t="s">
        <v>254</v>
      </c>
      <c r="E30" s="54"/>
      <c r="F30" s="54"/>
      <c r="G30" s="54"/>
      <c r="H30" s="54"/>
      <c r="I30" s="54"/>
      <c r="J30" s="54" t="s">
        <v>238</v>
      </c>
      <c r="K30" s="54"/>
      <c r="L30" s="54"/>
      <c r="M30" s="54"/>
      <c r="N30" s="54"/>
      <c r="O30" s="54"/>
      <c r="P30" s="54"/>
      <c r="Q30" s="54"/>
      <c r="R30" s="54"/>
      <c r="S30" s="54"/>
      <c r="T30" s="54"/>
      <c r="U30" s="54"/>
      <c r="V30" s="54"/>
      <c r="W30" s="54"/>
      <c r="X30" s="54"/>
      <c r="Y30" s="54"/>
      <c r="Z30" s="54"/>
      <c r="AA30" s="53"/>
    </row>
    <row r="31" spans="2:27" x14ac:dyDescent="0.25">
      <c r="B31" s="51"/>
      <c r="C31" s="52"/>
      <c r="D31" s="131" t="s">
        <v>230</v>
      </c>
      <c r="E31" s="54"/>
      <c r="F31" s="54"/>
      <c r="G31" s="54"/>
      <c r="H31" s="54"/>
      <c r="I31" s="54"/>
      <c r="J31" s="54" t="s">
        <v>238</v>
      </c>
      <c r="K31" s="54"/>
      <c r="L31" s="54"/>
      <c r="M31" s="54"/>
      <c r="N31" s="54" t="s">
        <v>238</v>
      </c>
      <c r="O31" s="54"/>
      <c r="P31" s="54"/>
      <c r="Q31" s="54" t="s">
        <v>238</v>
      </c>
      <c r="R31" s="54"/>
      <c r="S31" s="54"/>
      <c r="T31" s="54"/>
      <c r="U31" s="54"/>
      <c r="V31" s="54"/>
      <c r="W31" s="54"/>
      <c r="X31" s="54"/>
      <c r="Y31" s="54"/>
      <c r="Z31" s="54"/>
      <c r="AA31" s="53"/>
    </row>
    <row r="32" spans="2:27" x14ac:dyDescent="0.25">
      <c r="B32" s="51">
        <v>18</v>
      </c>
      <c r="C32" s="52"/>
      <c r="D32" s="131" t="s">
        <v>255</v>
      </c>
      <c r="E32" s="54"/>
      <c r="F32" s="54"/>
      <c r="G32" s="54"/>
      <c r="H32" s="54"/>
      <c r="I32" s="54"/>
      <c r="J32" s="54" t="s">
        <v>238</v>
      </c>
      <c r="K32" s="54" t="s">
        <v>238</v>
      </c>
      <c r="L32" s="54"/>
      <c r="M32" s="54" t="s">
        <v>238</v>
      </c>
      <c r="N32" s="54"/>
      <c r="O32" s="54"/>
      <c r="P32" s="54"/>
      <c r="Q32" s="54"/>
      <c r="R32" s="54"/>
      <c r="S32" s="54"/>
      <c r="T32" s="54"/>
      <c r="U32" s="54"/>
      <c r="V32" s="54"/>
      <c r="W32" s="54"/>
      <c r="X32" s="54"/>
      <c r="Y32" s="54"/>
      <c r="Z32" s="54"/>
      <c r="AA32" s="53"/>
    </row>
    <row r="33" spans="2:27" x14ac:dyDescent="0.25">
      <c r="B33" s="51">
        <v>19</v>
      </c>
      <c r="C33" s="52"/>
      <c r="D33" s="131" t="s">
        <v>256</v>
      </c>
      <c r="E33" s="54"/>
      <c r="F33" s="54"/>
      <c r="G33" s="54"/>
      <c r="H33" s="54"/>
      <c r="I33" s="54"/>
      <c r="J33" s="54"/>
      <c r="K33" s="54"/>
      <c r="L33" s="54"/>
      <c r="M33" s="54" t="s">
        <v>238</v>
      </c>
      <c r="N33" s="54"/>
      <c r="O33" s="54"/>
      <c r="P33" s="54"/>
      <c r="Q33" s="54"/>
      <c r="R33" s="54"/>
      <c r="S33" s="54"/>
      <c r="T33" s="54"/>
      <c r="U33" s="54"/>
      <c r="V33" s="54"/>
      <c r="W33" s="54"/>
      <c r="X33" s="54"/>
      <c r="Y33" s="54"/>
      <c r="Z33" s="54"/>
      <c r="AA33" s="53"/>
    </row>
    <row r="34" spans="2:27" ht="33.75" x14ac:dyDescent="0.25">
      <c r="B34" s="51">
        <v>20</v>
      </c>
      <c r="C34" s="52"/>
      <c r="D34" s="131" t="s">
        <v>257</v>
      </c>
      <c r="E34" s="54"/>
      <c r="F34" s="54"/>
      <c r="G34" s="54" t="s">
        <v>238</v>
      </c>
      <c r="H34" s="54"/>
      <c r="I34" s="54"/>
      <c r="J34" s="54"/>
      <c r="K34" s="54"/>
      <c r="L34" s="54"/>
      <c r="M34" s="54" t="s">
        <v>238</v>
      </c>
      <c r="N34" s="54" t="s">
        <v>238</v>
      </c>
      <c r="O34" s="54"/>
      <c r="P34" s="54" t="s">
        <v>238</v>
      </c>
      <c r="Q34" s="54"/>
      <c r="R34" s="54"/>
      <c r="S34" s="54"/>
      <c r="T34" s="54"/>
      <c r="U34" s="54"/>
      <c r="V34" s="54"/>
      <c r="W34" s="54"/>
      <c r="X34" s="54"/>
      <c r="Y34" s="54"/>
      <c r="Z34" s="54"/>
      <c r="AA34" s="53"/>
    </row>
    <row r="35" spans="2:27" x14ac:dyDescent="0.25">
      <c r="B35" s="51">
        <v>21</v>
      </c>
      <c r="C35" s="52"/>
      <c r="D35" s="131" t="s">
        <v>258</v>
      </c>
      <c r="E35" s="54"/>
      <c r="F35" s="54"/>
      <c r="G35" s="54" t="s">
        <v>238</v>
      </c>
      <c r="H35" s="54"/>
      <c r="I35" s="54"/>
      <c r="J35" s="54"/>
      <c r="K35" s="54"/>
      <c r="L35" s="54"/>
      <c r="M35" s="54"/>
      <c r="N35" s="54"/>
      <c r="O35" s="54"/>
      <c r="P35" s="54" t="s">
        <v>238</v>
      </c>
      <c r="Q35" s="54"/>
      <c r="R35" s="54"/>
      <c r="S35" s="54"/>
      <c r="T35" s="54"/>
      <c r="U35" s="54"/>
      <c r="V35" s="54"/>
      <c r="W35" s="54"/>
      <c r="X35" s="54"/>
      <c r="Y35" s="54"/>
      <c r="Z35" s="54"/>
      <c r="AA35" s="53"/>
    </row>
    <row r="36" spans="2:27" x14ac:dyDescent="0.25">
      <c r="B36" s="51">
        <v>22</v>
      </c>
      <c r="C36" s="52"/>
      <c r="D36" s="131" t="s">
        <v>259</v>
      </c>
      <c r="E36" s="54"/>
      <c r="F36" s="54"/>
      <c r="G36" s="54"/>
      <c r="H36" s="54"/>
      <c r="I36" s="54"/>
      <c r="J36" s="54" t="s">
        <v>238</v>
      </c>
      <c r="K36" s="54"/>
      <c r="L36" s="54" t="s">
        <v>238</v>
      </c>
      <c r="M36" s="54" t="s">
        <v>238</v>
      </c>
      <c r="N36" s="54"/>
      <c r="O36" s="54"/>
      <c r="P36" s="54"/>
      <c r="Q36" s="54"/>
      <c r="R36" s="54"/>
      <c r="S36" s="54"/>
      <c r="T36" s="54"/>
      <c r="U36" s="54"/>
      <c r="V36" s="54"/>
      <c r="W36" s="54"/>
      <c r="X36" s="54"/>
      <c r="Y36" s="54"/>
      <c r="Z36" s="54"/>
      <c r="AA36" s="53"/>
    </row>
    <row r="37" spans="2:27" ht="22.5" x14ac:dyDescent="0.25">
      <c r="B37" s="51">
        <v>23</v>
      </c>
      <c r="C37" s="52"/>
      <c r="D37" s="131" t="s">
        <v>260</v>
      </c>
      <c r="E37" s="54"/>
      <c r="F37" s="54"/>
      <c r="G37" s="54"/>
      <c r="H37" s="54"/>
      <c r="I37" s="54"/>
      <c r="J37" s="54"/>
      <c r="K37" s="54"/>
      <c r="L37" s="54"/>
      <c r="M37" s="54"/>
      <c r="N37" s="54"/>
      <c r="O37" s="54" t="s">
        <v>238</v>
      </c>
      <c r="P37" s="54" t="s">
        <v>238</v>
      </c>
      <c r="Q37" s="54"/>
      <c r="R37" s="54"/>
      <c r="S37" s="54"/>
      <c r="T37" s="54"/>
      <c r="U37" s="54"/>
      <c r="V37" s="54"/>
      <c r="W37" s="54"/>
      <c r="X37" s="54"/>
      <c r="Y37" s="54"/>
      <c r="Z37" s="54"/>
      <c r="AA37" s="53"/>
    </row>
    <row r="38" spans="2:27" ht="22.5" x14ac:dyDescent="0.25">
      <c r="B38" s="51">
        <v>24</v>
      </c>
      <c r="C38" s="52"/>
      <c r="D38" s="131" t="s">
        <v>261</v>
      </c>
      <c r="E38" s="54"/>
      <c r="F38" s="54"/>
      <c r="G38" s="54"/>
      <c r="H38" s="54"/>
      <c r="I38" s="54"/>
      <c r="J38" s="54"/>
      <c r="K38" s="54"/>
      <c r="L38" s="54"/>
      <c r="M38" s="54"/>
      <c r="N38" s="54"/>
      <c r="O38" s="54"/>
      <c r="P38" s="54" t="s">
        <v>238</v>
      </c>
      <c r="Q38" s="54"/>
      <c r="R38" s="54"/>
      <c r="S38" s="54"/>
      <c r="T38" s="54"/>
      <c r="U38" s="54"/>
      <c r="V38" s="54"/>
      <c r="W38" s="54"/>
      <c r="X38" s="54"/>
      <c r="Y38" s="54"/>
      <c r="Z38" s="54"/>
      <c r="AA38" s="53"/>
    </row>
    <row r="39" spans="2:27" ht="22.5" x14ac:dyDescent="0.25">
      <c r="B39" s="51">
        <v>25</v>
      </c>
      <c r="C39" s="52"/>
      <c r="D39" s="131" t="s">
        <v>262</v>
      </c>
      <c r="E39" s="54"/>
      <c r="F39" s="54"/>
      <c r="G39" s="54"/>
      <c r="H39" s="54"/>
      <c r="I39" s="54"/>
      <c r="J39" s="54"/>
      <c r="K39" s="54"/>
      <c r="L39" s="54"/>
      <c r="M39" s="54"/>
      <c r="N39" s="54"/>
      <c r="O39" s="54"/>
      <c r="P39" s="54"/>
      <c r="Q39" s="54"/>
      <c r="R39" s="54"/>
      <c r="S39" s="54"/>
      <c r="T39" s="54"/>
      <c r="U39" s="54"/>
      <c r="V39" s="54"/>
      <c r="W39" s="54"/>
      <c r="X39" s="54"/>
      <c r="Y39" s="54"/>
      <c r="Z39" s="54"/>
      <c r="AA39" s="53"/>
    </row>
    <row r="40" spans="2:27" ht="22.5" x14ac:dyDescent="0.25">
      <c r="B40" s="51">
        <v>25</v>
      </c>
      <c r="C40" s="52"/>
      <c r="D40" s="131" t="s">
        <v>528</v>
      </c>
      <c r="E40" s="54"/>
      <c r="F40" s="54" t="s">
        <v>238</v>
      </c>
      <c r="G40" s="54"/>
      <c r="H40" s="54"/>
      <c r="I40" s="54"/>
      <c r="J40" s="54"/>
      <c r="K40" s="54"/>
      <c r="L40" s="54"/>
      <c r="M40" s="54"/>
      <c r="N40" s="54"/>
      <c r="O40" s="54"/>
      <c r="P40" s="54"/>
      <c r="Q40" s="54"/>
      <c r="R40" s="54"/>
      <c r="S40" s="54"/>
      <c r="T40" s="54"/>
      <c r="U40" s="54"/>
      <c r="V40" s="54"/>
      <c r="W40" s="54"/>
      <c r="X40" s="54"/>
      <c r="Y40" s="54"/>
      <c r="Z40" s="54"/>
      <c r="AA40" s="53"/>
    </row>
  </sheetData>
  <mergeCells count="26">
    <mergeCell ref="B2:B3"/>
    <mergeCell ref="C2:C3"/>
    <mergeCell ref="D2:D3"/>
    <mergeCell ref="E2:E3"/>
    <mergeCell ref="F2:F3"/>
    <mergeCell ref="S2:S3"/>
    <mergeCell ref="T2:T3"/>
    <mergeCell ref="U2:U3"/>
    <mergeCell ref="V2:V3"/>
    <mergeCell ref="G2:G3"/>
    <mergeCell ref="AA2:AA3"/>
    <mergeCell ref="Y2:Y3"/>
    <mergeCell ref="Z2:Z3"/>
    <mergeCell ref="H2:H3"/>
    <mergeCell ref="I2:I3"/>
    <mergeCell ref="J2:J3"/>
    <mergeCell ref="K2:K3"/>
    <mergeCell ref="L2:L3"/>
    <mergeCell ref="M2:M3"/>
    <mergeCell ref="W2:W3"/>
    <mergeCell ref="X2:X3"/>
    <mergeCell ref="N2:N3"/>
    <mergeCell ref="O2:O3"/>
    <mergeCell ref="P2:P3"/>
    <mergeCell ref="Q2:Q3"/>
    <mergeCell ref="R2:R3"/>
  </mergeCells>
  <pageMargins left="0.23622047244094491" right="0.23622047244094491" top="0.74803149606299213" bottom="0.74803149606299213" header="0.31496062992125984" footer="0.31496062992125984"/>
  <pageSetup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6"/>
  <dimension ref="A1:AY21"/>
  <sheetViews>
    <sheetView zoomScale="70" zoomScaleNormal="70" workbookViewId="0">
      <selection activeCell="V4" sqref="V1:AQ1048576"/>
    </sheetView>
  </sheetViews>
  <sheetFormatPr baseColWidth="10" defaultRowHeight="15" x14ac:dyDescent="0.25"/>
  <cols>
    <col min="1" max="1" width="21.42578125" style="29" customWidth="1"/>
    <col min="2" max="2" width="29.140625" style="29" customWidth="1"/>
    <col min="3" max="3" width="38.7109375" style="29" customWidth="1"/>
    <col min="4" max="4" width="31" style="29" customWidth="1"/>
    <col min="5" max="5" width="20.7109375" style="29" customWidth="1"/>
    <col min="6" max="6" width="14.42578125" style="38" customWidth="1"/>
    <col min="7" max="7" width="16.85546875" style="29" customWidth="1"/>
    <col min="8" max="8" width="23.42578125" style="29" customWidth="1"/>
    <col min="9" max="10" width="16.5703125" style="29" customWidth="1"/>
    <col min="11" max="11" width="22.140625" style="29" customWidth="1"/>
    <col min="12" max="12" width="19.42578125" style="29" customWidth="1"/>
    <col min="13" max="13" width="19.42578125" style="56" customWidth="1"/>
    <col min="14" max="14" width="19.42578125" style="29" customWidth="1"/>
    <col min="15" max="15" width="22" style="29" customWidth="1"/>
    <col min="16" max="16" width="18.140625" style="29" customWidth="1"/>
    <col min="17" max="17" width="20.42578125" style="29" customWidth="1"/>
    <col min="18" max="19" width="19.28515625" style="29" customWidth="1"/>
    <col min="20" max="20" width="35.5703125" customWidth="1"/>
    <col min="21" max="21" width="64.140625" customWidth="1"/>
    <col min="22" max="22" width="22.140625" style="29" customWidth="1"/>
    <col min="23" max="23" width="19.42578125" style="138" customWidth="1"/>
    <col min="24" max="24" width="19.42578125" style="58" customWidth="1"/>
    <col min="25" max="25" width="17.85546875" style="58" customWidth="1"/>
    <col min="26" max="26" width="18.140625" style="58" customWidth="1"/>
    <col min="27" max="27" width="20.42578125" style="58" customWidth="1"/>
    <col min="28" max="29" width="19.28515625" style="58" customWidth="1"/>
    <col min="30" max="30" width="35.5703125" customWidth="1"/>
    <col min="31" max="31" width="46.7109375" customWidth="1"/>
    <col min="32" max="32" width="22.140625" style="58" customWidth="1"/>
    <col min="33" max="33" width="21.5703125" style="138" customWidth="1"/>
    <col min="34" max="38" width="21.5703125" style="58" customWidth="1"/>
    <col min="39" max="39" width="19.28515625" style="58" customWidth="1"/>
    <col min="40" max="40" width="35.5703125" customWidth="1"/>
    <col min="41" max="41" width="51.42578125" customWidth="1"/>
    <col min="42" max="42" width="22.140625" style="58" customWidth="1"/>
    <col min="43" max="43" width="17.7109375" style="58" customWidth="1"/>
    <col min="44" max="44" width="17.85546875" style="58" customWidth="1"/>
    <col min="45" max="45" width="19.140625" style="58" customWidth="1"/>
    <col min="46" max="46" width="18.7109375" style="58" customWidth="1"/>
    <col min="47" max="47" width="21" style="58" customWidth="1"/>
    <col min="48" max="48" width="26.5703125" style="29" customWidth="1"/>
    <col min="49" max="49" width="24.5703125" style="29" customWidth="1"/>
    <col min="50" max="50" width="28.140625" style="29" customWidth="1"/>
    <col min="51" max="51" width="27.85546875" style="29" customWidth="1"/>
    <col min="52" max="52" width="11.42578125" style="29"/>
    <col min="53" max="53" width="11.42578125" style="29" customWidth="1"/>
    <col min="54" max="16384" width="11.42578125" style="29"/>
  </cols>
  <sheetData>
    <row r="1" spans="1:51" ht="75.75" customHeight="1" x14ac:dyDescent="0.2">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c r="AW1" s="612"/>
      <c r="AX1" s="612"/>
      <c r="AY1" s="612"/>
    </row>
    <row r="2" spans="1:51" ht="41.25" customHeight="1" x14ac:dyDescent="0.2">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612"/>
      <c r="AX2" s="612"/>
      <c r="AY2" s="612"/>
    </row>
    <row r="3" spans="1:51" ht="41.25" customHeight="1" x14ac:dyDescent="0.2">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613" t="s">
        <v>772</v>
      </c>
      <c r="AX3" s="613"/>
      <c r="AY3" s="613"/>
    </row>
    <row r="4" spans="1:51" ht="32.25" customHeight="1" thickBot="1" x14ac:dyDescent="0.25">
      <c r="A4" s="627" t="s">
        <v>193</v>
      </c>
      <c r="B4" s="627"/>
      <c r="C4" s="627"/>
      <c r="D4" s="627"/>
      <c r="M4" s="595" t="s">
        <v>564</v>
      </c>
      <c r="N4" s="595"/>
      <c r="O4" s="595"/>
      <c r="P4" s="595"/>
      <c r="Q4" s="595"/>
      <c r="R4" s="595"/>
      <c r="S4" s="595"/>
      <c r="T4" s="29"/>
      <c r="U4" s="29"/>
      <c r="AD4" s="29"/>
      <c r="AE4" s="29"/>
      <c r="AN4" s="29"/>
      <c r="AO4" s="29"/>
    </row>
    <row r="5" spans="1:51" ht="57" customHeight="1" x14ac:dyDescent="0.2">
      <c r="A5" s="606" t="s">
        <v>1</v>
      </c>
      <c r="B5" s="594" t="s">
        <v>3</v>
      </c>
      <c r="C5" s="594" t="s">
        <v>194</v>
      </c>
      <c r="D5" s="594" t="s">
        <v>195</v>
      </c>
      <c r="E5" s="594" t="s">
        <v>196</v>
      </c>
      <c r="F5" s="642" t="s">
        <v>231</v>
      </c>
      <c r="G5" s="594" t="s">
        <v>228</v>
      </c>
      <c r="H5" s="594" t="s">
        <v>227</v>
      </c>
      <c r="I5" s="594" t="s">
        <v>8</v>
      </c>
      <c r="J5" s="594" t="s">
        <v>495</v>
      </c>
      <c r="K5" s="594" t="s">
        <v>519</v>
      </c>
      <c r="L5" s="640" t="s">
        <v>9</v>
      </c>
      <c r="M5" s="199" t="s">
        <v>420</v>
      </c>
      <c r="N5" s="216" t="s">
        <v>232</v>
      </c>
      <c r="O5" s="216" t="s">
        <v>233</v>
      </c>
      <c r="P5" s="216" t="s">
        <v>224</v>
      </c>
      <c r="Q5" s="216" t="s">
        <v>225</v>
      </c>
      <c r="R5" s="216" t="s">
        <v>290</v>
      </c>
      <c r="S5" s="216" t="s">
        <v>433</v>
      </c>
      <c r="T5" s="610" t="s">
        <v>421</v>
      </c>
      <c r="U5" s="610" t="s">
        <v>423</v>
      </c>
      <c r="V5" s="608" t="s">
        <v>488</v>
      </c>
      <c r="W5" s="199" t="s">
        <v>420</v>
      </c>
      <c r="X5" s="216" t="s">
        <v>232</v>
      </c>
      <c r="Y5" s="216" t="s">
        <v>233</v>
      </c>
      <c r="Z5" s="216" t="s">
        <v>224</v>
      </c>
      <c r="AA5" s="216" t="s">
        <v>225</v>
      </c>
      <c r="AB5" s="216" t="s">
        <v>290</v>
      </c>
      <c r="AC5" s="216" t="s">
        <v>433</v>
      </c>
      <c r="AD5" s="610" t="s">
        <v>421</v>
      </c>
      <c r="AE5" s="610" t="s">
        <v>423</v>
      </c>
      <c r="AF5" s="608" t="s">
        <v>491</v>
      </c>
      <c r="AG5" s="199" t="s">
        <v>420</v>
      </c>
      <c r="AH5" s="216" t="s">
        <v>232</v>
      </c>
      <c r="AI5" s="216" t="s">
        <v>233</v>
      </c>
      <c r="AJ5" s="216" t="s">
        <v>224</v>
      </c>
      <c r="AK5" s="216" t="s">
        <v>225</v>
      </c>
      <c r="AL5" s="216" t="s">
        <v>290</v>
      </c>
      <c r="AM5" s="216" t="s">
        <v>433</v>
      </c>
      <c r="AN5" s="610" t="s">
        <v>421</v>
      </c>
      <c r="AO5" s="610" t="s">
        <v>423</v>
      </c>
      <c r="AP5" s="608" t="s">
        <v>493</v>
      </c>
      <c r="AQ5" s="621" t="s">
        <v>11</v>
      </c>
      <c r="AR5" s="622"/>
      <c r="AS5" s="622"/>
      <c r="AT5" s="622"/>
      <c r="AU5" s="623"/>
      <c r="AV5" s="624" t="s">
        <v>557</v>
      </c>
      <c r="AW5" s="625"/>
      <c r="AX5" s="625"/>
      <c r="AY5" s="626"/>
    </row>
    <row r="6" spans="1:51" ht="63" customHeight="1" x14ac:dyDescent="0.2">
      <c r="A6" s="607"/>
      <c r="B6" s="535"/>
      <c r="C6" s="535"/>
      <c r="D6" s="535"/>
      <c r="E6" s="535"/>
      <c r="F6" s="643"/>
      <c r="G6" s="535"/>
      <c r="H6" s="535"/>
      <c r="I6" s="535"/>
      <c r="J6" s="535"/>
      <c r="K6" s="535"/>
      <c r="L6" s="641"/>
      <c r="M6" s="163" t="s">
        <v>299</v>
      </c>
      <c r="N6" s="4" t="s">
        <v>299</v>
      </c>
      <c r="O6" s="4" t="s">
        <v>299</v>
      </c>
      <c r="P6" s="4" t="s">
        <v>299</v>
      </c>
      <c r="Q6" s="4" t="s">
        <v>299</v>
      </c>
      <c r="R6" s="4" t="s">
        <v>299</v>
      </c>
      <c r="S6" s="4" t="s">
        <v>299</v>
      </c>
      <c r="T6" s="611"/>
      <c r="U6" s="611"/>
      <c r="V6" s="609"/>
      <c r="W6" s="163" t="s">
        <v>288</v>
      </c>
      <c r="X6" s="4" t="s">
        <v>288</v>
      </c>
      <c r="Y6" s="4" t="s">
        <v>288</v>
      </c>
      <c r="Z6" s="4" t="s">
        <v>288</v>
      </c>
      <c r="AA6" s="4" t="s">
        <v>288</v>
      </c>
      <c r="AB6" s="4" t="s">
        <v>288</v>
      </c>
      <c r="AC6" s="4" t="s">
        <v>288</v>
      </c>
      <c r="AD6" s="611"/>
      <c r="AE6" s="611"/>
      <c r="AF6" s="609"/>
      <c r="AG6" s="163" t="s">
        <v>289</v>
      </c>
      <c r="AH6" s="4" t="s">
        <v>289</v>
      </c>
      <c r="AI6" s="4" t="s">
        <v>289</v>
      </c>
      <c r="AJ6" s="4" t="s">
        <v>289</v>
      </c>
      <c r="AK6" s="4" t="s">
        <v>289</v>
      </c>
      <c r="AL6" s="4" t="s">
        <v>289</v>
      </c>
      <c r="AM6" s="4" t="s">
        <v>289</v>
      </c>
      <c r="AN6" s="611"/>
      <c r="AO6" s="611"/>
      <c r="AP6" s="609"/>
      <c r="AQ6" s="231" t="s">
        <v>198</v>
      </c>
      <c r="AR6" s="139" t="s">
        <v>199</v>
      </c>
      <c r="AS6" s="139" t="s">
        <v>200</v>
      </c>
      <c r="AT6" s="139" t="s">
        <v>201</v>
      </c>
      <c r="AU6" s="232" t="s">
        <v>20</v>
      </c>
      <c r="AV6" s="181" t="s">
        <v>202</v>
      </c>
      <c r="AW6" s="33" t="s">
        <v>203</v>
      </c>
      <c r="AX6" s="33" t="s">
        <v>204</v>
      </c>
      <c r="AY6" s="182" t="s">
        <v>205</v>
      </c>
    </row>
    <row r="7" spans="1:51" s="37" customFormat="1" ht="138" customHeight="1" x14ac:dyDescent="0.25">
      <c r="A7" s="603" t="s">
        <v>206</v>
      </c>
      <c r="B7" s="600" t="s">
        <v>207</v>
      </c>
      <c r="C7" s="600" t="s">
        <v>208</v>
      </c>
      <c r="D7" s="600" t="s">
        <v>209</v>
      </c>
      <c r="E7" s="600" t="s">
        <v>210</v>
      </c>
      <c r="F7" s="644">
        <f>+'PLAN DESARROLLO'!E7</f>
        <v>0.6</v>
      </c>
      <c r="G7" s="6" t="s">
        <v>434</v>
      </c>
      <c r="H7" s="64" t="s">
        <v>26</v>
      </c>
      <c r="I7" s="6">
        <v>0.9</v>
      </c>
      <c r="J7" s="6" t="s">
        <v>496</v>
      </c>
      <c r="K7" s="354" t="s">
        <v>663</v>
      </c>
      <c r="L7" s="634" t="s">
        <v>27</v>
      </c>
      <c r="M7" s="164"/>
      <c r="N7" s="57"/>
      <c r="O7" s="432"/>
      <c r="P7" s="8"/>
      <c r="Q7" s="432"/>
      <c r="R7" s="8"/>
      <c r="S7" s="8"/>
      <c r="T7" s="57"/>
      <c r="U7" s="140"/>
      <c r="V7" s="165" t="e">
        <f>AVERAGE(M7:S7)</f>
        <v>#DIV/0!</v>
      </c>
      <c r="W7" s="164"/>
      <c r="X7" s="432"/>
      <c r="Y7" s="432"/>
      <c r="Z7" s="8"/>
      <c r="AA7" s="432"/>
      <c r="AB7" s="7"/>
      <c r="AC7" s="8"/>
      <c r="AD7" s="57"/>
      <c r="AE7" s="140"/>
      <c r="AF7" s="165" t="e">
        <f>AVERAGE(W7:AC7)</f>
        <v>#DIV/0!</v>
      </c>
      <c r="AG7" s="164"/>
      <c r="AH7" s="57"/>
      <c r="AI7" s="57"/>
      <c r="AJ7" s="7"/>
      <c r="AK7" s="57"/>
      <c r="AL7" s="7"/>
      <c r="AM7" s="7"/>
      <c r="AN7" s="57"/>
      <c r="AO7" s="140"/>
      <c r="AP7" s="165" t="e">
        <f>+AVERAGE(AG7:AM7)</f>
        <v>#DIV/0!</v>
      </c>
      <c r="AQ7" s="178" t="s">
        <v>226</v>
      </c>
      <c r="AR7" s="26" t="str">
        <f>IFERROR(IF(V7&gt;=0.9,1,(V7*100%)/0.9),"-")</f>
        <v>-</v>
      </c>
      <c r="AS7" s="26" t="str">
        <f>IFERROR(IF(AF7&gt;=0.9,1,(AF7*100%)/0.9),"-")</f>
        <v>-</v>
      </c>
      <c r="AT7" s="26" t="str">
        <f>IFERROR(IF(AP7&gt;=0.9,1,(AP7*100%)/0.9),"-")</f>
        <v>-</v>
      </c>
      <c r="AU7" s="179" t="str">
        <f>IFERROR(AVERAGE(AQ7:AT7),"-")</f>
        <v>-</v>
      </c>
      <c r="AV7" s="183"/>
      <c r="AW7" s="35"/>
      <c r="AX7" s="36"/>
      <c r="AY7" s="184"/>
    </row>
    <row r="8" spans="1:51" ht="162" customHeight="1" x14ac:dyDescent="0.2">
      <c r="A8" s="604"/>
      <c r="B8" s="601"/>
      <c r="C8" s="601"/>
      <c r="D8" s="601"/>
      <c r="E8" s="601"/>
      <c r="F8" s="645"/>
      <c r="G8" s="6" t="s">
        <v>28</v>
      </c>
      <c r="H8" s="64" t="s">
        <v>29</v>
      </c>
      <c r="I8" s="6">
        <v>0.9</v>
      </c>
      <c r="J8" s="6" t="s">
        <v>496</v>
      </c>
      <c r="K8" s="354" t="s">
        <v>666</v>
      </c>
      <c r="L8" s="635"/>
      <c r="M8" s="164"/>
      <c r="N8" s="8"/>
      <c r="O8" s="8"/>
      <c r="P8" s="8"/>
      <c r="Q8" s="8"/>
      <c r="R8" s="8"/>
      <c r="S8" s="8"/>
      <c r="T8" s="144"/>
      <c r="U8" s="355"/>
      <c r="V8" s="165" t="e">
        <f t="shared" ref="V8:V10" si="0">AVERAGE(M8:S8)</f>
        <v>#DIV/0!</v>
      </c>
      <c r="W8" s="164"/>
      <c r="X8" s="7"/>
      <c r="Y8" s="7"/>
      <c r="Z8" s="7"/>
      <c r="AA8" s="7"/>
      <c r="AB8" s="7"/>
      <c r="AC8" s="7"/>
      <c r="AD8" s="144"/>
      <c r="AE8" s="140"/>
      <c r="AF8" s="165" t="e">
        <f t="shared" ref="AF8:AF11" si="1">AVERAGE(W8:AC8)</f>
        <v>#DIV/0!</v>
      </c>
      <c r="AG8" s="164"/>
      <c r="AH8" s="7"/>
      <c r="AI8" s="7"/>
      <c r="AJ8" s="7"/>
      <c r="AK8" s="7"/>
      <c r="AL8" s="7"/>
      <c r="AM8" s="7"/>
      <c r="AN8" s="144"/>
      <c r="AO8" s="140"/>
      <c r="AP8" s="165" t="e">
        <f>+AVERAGE(AG8:AM8)</f>
        <v>#DIV/0!</v>
      </c>
      <c r="AQ8" s="178" t="s">
        <v>226</v>
      </c>
      <c r="AR8" s="26" t="str">
        <f>IFERROR(IF(V8&gt;=0.9,1,(V8*100%)/0.9),"-")</f>
        <v>-</v>
      </c>
      <c r="AS8" s="26" t="str">
        <f>IFERROR((AF8*100%)/$I$8,"-")</f>
        <v>-</v>
      </c>
      <c r="AT8" s="26" t="str">
        <f>IFERROR(IF(AP8&gt;=0.9,1,(AP8*100%)/0.9),"-")</f>
        <v>-</v>
      </c>
      <c r="AU8" s="179" t="str">
        <f>IFERROR(AVERAGE(AQ8:AT8),"-")</f>
        <v>-</v>
      </c>
      <c r="AV8" s="185"/>
      <c r="AW8" s="30"/>
      <c r="AX8" s="28"/>
      <c r="AY8" s="186"/>
    </row>
    <row r="9" spans="1:51" ht="92.25" customHeight="1" x14ac:dyDescent="0.2">
      <c r="A9" s="604"/>
      <c r="B9" s="601"/>
      <c r="C9" s="601"/>
      <c r="D9" s="601"/>
      <c r="E9" s="601"/>
      <c r="F9" s="645"/>
      <c r="G9" s="505" t="s">
        <v>765</v>
      </c>
      <c r="H9" s="506" t="s">
        <v>766</v>
      </c>
      <c r="I9" s="6">
        <v>0.6</v>
      </c>
      <c r="J9" s="6" t="s">
        <v>496</v>
      </c>
      <c r="K9" s="354"/>
      <c r="L9" s="635"/>
      <c r="M9" s="164"/>
      <c r="N9" s="8"/>
      <c r="O9" s="8"/>
      <c r="P9" s="8"/>
      <c r="Q9" s="8"/>
      <c r="R9" s="8"/>
      <c r="S9" s="8"/>
      <c r="T9" s="487"/>
      <c r="U9" s="488"/>
      <c r="V9" s="165" t="e">
        <f t="shared" si="0"/>
        <v>#DIV/0!</v>
      </c>
      <c r="W9" s="164"/>
      <c r="X9" s="7"/>
      <c r="Y9" s="7"/>
      <c r="Z9" s="7"/>
      <c r="AA9" s="7"/>
      <c r="AB9" s="7"/>
      <c r="AC9" s="7"/>
      <c r="AD9" s="142"/>
      <c r="AE9" s="451"/>
      <c r="AF9" s="165" t="e">
        <f t="shared" si="1"/>
        <v>#DIV/0!</v>
      </c>
      <c r="AG9" s="164"/>
      <c r="AH9" s="7"/>
      <c r="AI9" s="7"/>
      <c r="AJ9" s="7"/>
      <c r="AK9" s="7"/>
      <c r="AL9" s="7"/>
      <c r="AM9" s="7"/>
      <c r="AN9" s="142"/>
      <c r="AO9" s="451"/>
      <c r="AP9" s="165" t="e">
        <f>+AVERAGE(AG9:AM9)</f>
        <v>#DIV/0!</v>
      </c>
      <c r="AQ9" s="178" t="s">
        <v>226</v>
      </c>
      <c r="AR9" s="26" t="str">
        <f>IFERROR(IF(V9&gt;=0.6,1,(V9*100%)/0.6),"-")</f>
        <v>-</v>
      </c>
      <c r="AS9" s="26" t="str">
        <f>IFERROR((AF9*100%)/$I$9,"-")</f>
        <v>-</v>
      </c>
      <c r="AT9" s="26" t="str">
        <f>IFERROR(IF(AP9&gt;=0.6,1,(AP9*100%)/0.6),"-")</f>
        <v>-</v>
      </c>
      <c r="AU9" s="179" t="str">
        <f>IFERROR(AVERAGE(AQ9:AT9),"-")</f>
        <v>-</v>
      </c>
      <c r="AV9" s="185"/>
      <c r="AW9" s="30"/>
      <c r="AX9" s="28"/>
      <c r="AY9" s="215"/>
    </row>
    <row r="10" spans="1:51" ht="107.25" customHeight="1" x14ac:dyDescent="0.2">
      <c r="A10" s="604"/>
      <c r="B10" s="601"/>
      <c r="C10" s="601"/>
      <c r="D10" s="601"/>
      <c r="E10" s="601"/>
      <c r="F10" s="645"/>
      <c r="G10" s="6" t="s">
        <v>32</v>
      </c>
      <c r="H10" s="64" t="s">
        <v>33</v>
      </c>
      <c r="I10" s="6">
        <v>0.6</v>
      </c>
      <c r="J10" s="6" t="s">
        <v>496</v>
      </c>
      <c r="K10" s="354" t="s">
        <v>667</v>
      </c>
      <c r="L10" s="635"/>
      <c r="M10" s="164"/>
      <c r="N10" s="8"/>
      <c r="O10" s="8"/>
      <c r="P10" s="8"/>
      <c r="Q10" s="8"/>
      <c r="R10" s="8"/>
      <c r="S10" s="8"/>
      <c r="T10" s="487"/>
      <c r="U10" s="488"/>
      <c r="V10" s="165" t="e">
        <f t="shared" si="0"/>
        <v>#DIV/0!</v>
      </c>
      <c r="W10" s="164"/>
      <c r="X10" s="7"/>
      <c r="Y10" s="7"/>
      <c r="Z10" s="7"/>
      <c r="AA10" s="7"/>
      <c r="AB10" s="7"/>
      <c r="AC10" s="7"/>
      <c r="AD10" s="142"/>
      <c r="AE10" s="451"/>
      <c r="AF10" s="165" t="e">
        <f t="shared" si="1"/>
        <v>#DIV/0!</v>
      </c>
      <c r="AG10" s="164"/>
      <c r="AH10" s="7"/>
      <c r="AI10" s="7"/>
      <c r="AJ10" s="7"/>
      <c r="AK10" s="7"/>
      <c r="AL10" s="7"/>
      <c r="AM10" s="7"/>
      <c r="AN10" s="142"/>
      <c r="AO10" s="451"/>
      <c r="AP10" s="165" t="e">
        <f>+AVERAGE(AG10:AM10)</f>
        <v>#DIV/0!</v>
      </c>
      <c r="AQ10" s="178" t="s">
        <v>226</v>
      </c>
      <c r="AR10" s="26" t="str">
        <f>IFERROR(IF(V10&gt;=0.6,1,(V10*100%)/0.6),"-")</f>
        <v>-</v>
      </c>
      <c r="AS10" s="26" t="str">
        <f>IFERROR(IF(AF10&gt;=0.6,1,(AF10*100%)/0.6),"-")</f>
        <v>-</v>
      </c>
      <c r="AT10" s="26" t="str">
        <f>IFERROR(IF(AP10&gt;=0.6,1,(AP10*100%)/0.6),"-")</f>
        <v>-</v>
      </c>
      <c r="AU10" s="179" t="str">
        <f>IFERROR(AVERAGE(AQ10:AT10),"-")</f>
        <v>-</v>
      </c>
      <c r="AV10" s="185"/>
      <c r="AW10" s="30"/>
      <c r="AX10" s="28"/>
      <c r="AY10" s="215"/>
    </row>
    <row r="11" spans="1:51" ht="42" customHeight="1" x14ac:dyDescent="0.25">
      <c r="A11" s="605"/>
      <c r="B11" s="602"/>
      <c r="C11" s="602"/>
      <c r="D11" s="602"/>
      <c r="E11" s="602"/>
      <c r="F11" s="646"/>
      <c r="G11" s="637" t="s">
        <v>587</v>
      </c>
      <c r="H11" s="638"/>
      <c r="I11" s="638"/>
      <c r="J11" s="638"/>
      <c r="K11" s="639"/>
      <c r="L11" s="636"/>
      <c r="M11" s="164"/>
      <c r="N11" s="7"/>
      <c r="O11" s="7"/>
      <c r="P11" s="7"/>
      <c r="Q11" s="7"/>
      <c r="R11" s="7"/>
      <c r="S11" s="7"/>
      <c r="T11" s="489"/>
      <c r="U11" s="490"/>
      <c r="V11" s="618" t="str">
        <f>IFERROR(AVERAGE(V7:V10),"-")</f>
        <v>-</v>
      </c>
      <c r="W11" s="164"/>
      <c r="X11" s="7"/>
      <c r="Y11" s="7"/>
      <c r="Z11" s="7"/>
      <c r="AA11" s="7"/>
      <c r="AB11" s="7"/>
      <c r="AC11" s="7"/>
      <c r="AD11" s="143"/>
      <c r="AE11" s="141"/>
      <c r="AF11" s="165" t="e">
        <f t="shared" si="1"/>
        <v>#DIV/0!</v>
      </c>
      <c r="AG11" s="164"/>
      <c r="AH11" s="7"/>
      <c r="AI11" s="7"/>
      <c r="AJ11" s="7"/>
      <c r="AK11" s="7"/>
      <c r="AL11" s="7"/>
      <c r="AM11" s="7"/>
      <c r="AN11" s="143"/>
      <c r="AO11" s="141"/>
      <c r="AP11" s="165" t="e">
        <f>+AVERAGE(AG11:AM11)</f>
        <v>#DIV/0!</v>
      </c>
      <c r="AQ11" s="178" t="s">
        <v>226</v>
      </c>
      <c r="AR11" s="26" t="str">
        <f>IFERROR((#REF!*100%)/$I$11,"-")</f>
        <v>-</v>
      </c>
      <c r="AS11" s="26" t="str">
        <f>IFERROR((AF11*100%)/$I$11,"-")</f>
        <v>-</v>
      </c>
      <c r="AT11" s="26" t="str">
        <f>IFERROR((AP11*100%)/$I$11,"-")</f>
        <v>-</v>
      </c>
      <c r="AU11" s="179" t="str">
        <f>IFERROR(AVERAGE(AQ11:AT11),"-")</f>
        <v>-</v>
      </c>
      <c r="AV11" s="185"/>
      <c r="AW11" s="30"/>
      <c r="AX11" s="28"/>
      <c r="AY11" s="215"/>
    </row>
    <row r="12" spans="1:51" s="58" customFormat="1" ht="45.6" customHeight="1" thickBot="1" x14ac:dyDescent="0.3">
      <c r="A12" s="596" t="s">
        <v>588</v>
      </c>
      <c r="B12" s="597"/>
      <c r="C12" s="597"/>
      <c r="D12" s="597"/>
      <c r="E12" s="597"/>
      <c r="F12" s="597"/>
      <c r="G12" s="597"/>
      <c r="H12" s="597"/>
      <c r="I12" s="597"/>
      <c r="J12" s="597"/>
      <c r="K12" s="598"/>
      <c r="L12" s="599"/>
      <c r="M12" s="373" t="str">
        <f>IFERROR(AVERAGE(M7:M11),"-")</f>
        <v>-</v>
      </c>
      <c r="N12" s="374" t="str">
        <f>IFERROR(AVERAGE(N7:N11),"-")</f>
        <v>-</v>
      </c>
      <c r="O12" s="374" t="str">
        <f>IFERROR(AVERAGE(O7:O11),"-")</f>
        <v>-</v>
      </c>
      <c r="P12" s="374" t="str">
        <f t="shared" ref="P12:S12" si="2">IFERROR(AVERAGE(P7:P11),"-")</f>
        <v>-</v>
      </c>
      <c r="Q12" s="374" t="str">
        <f t="shared" si="2"/>
        <v>-</v>
      </c>
      <c r="R12" s="374" t="str">
        <f t="shared" si="2"/>
        <v>-</v>
      </c>
      <c r="S12" s="374" t="str">
        <f t="shared" si="2"/>
        <v>-</v>
      </c>
      <c r="T12" s="491"/>
      <c r="U12" s="490"/>
      <c r="V12" s="619"/>
      <c r="W12" s="373" t="str">
        <f t="shared" ref="W12:AC12" si="3">IFERROR(AVERAGE(W7:W11),"-")</f>
        <v>-</v>
      </c>
      <c r="X12" s="374" t="str">
        <f t="shared" si="3"/>
        <v>-</v>
      </c>
      <c r="Y12" s="374" t="str">
        <f t="shared" si="3"/>
        <v>-</v>
      </c>
      <c r="Z12" s="374" t="str">
        <f t="shared" si="3"/>
        <v>-</v>
      </c>
      <c r="AA12" s="374" t="str">
        <f t="shared" si="3"/>
        <v>-</v>
      </c>
      <c r="AB12" s="374" t="str">
        <f t="shared" si="3"/>
        <v>-</v>
      </c>
      <c r="AC12" s="374" t="str">
        <f t="shared" si="3"/>
        <v>-</v>
      </c>
      <c r="AD12" s="225"/>
      <c r="AE12" s="141"/>
      <c r="AF12" s="616" t="str">
        <f t="shared" ref="AF12:AM12" si="4">IFERROR(AVERAGE(AF7:AF11),"-")</f>
        <v>-</v>
      </c>
      <c r="AG12" s="192" t="str">
        <f t="shared" si="4"/>
        <v>-</v>
      </c>
      <c r="AH12" s="193" t="str">
        <f t="shared" si="4"/>
        <v>-</v>
      </c>
      <c r="AI12" s="193" t="str">
        <f t="shared" si="4"/>
        <v>-</v>
      </c>
      <c r="AJ12" s="193" t="str">
        <f t="shared" si="4"/>
        <v>-</v>
      </c>
      <c r="AK12" s="193" t="str">
        <f t="shared" si="4"/>
        <v>-</v>
      </c>
      <c r="AL12" s="193" t="str">
        <f t="shared" si="4"/>
        <v>-</v>
      </c>
      <c r="AM12" s="193" t="str">
        <f t="shared" si="4"/>
        <v>-</v>
      </c>
      <c r="AN12" s="225"/>
      <c r="AO12" s="141"/>
      <c r="AP12" s="616" t="str">
        <f t="shared" ref="AP12:AU12" si="5">IFERROR(AVERAGE(AP7:AP11),"-")</f>
        <v>-</v>
      </c>
      <c r="AQ12" s="192" t="str">
        <f t="shared" si="5"/>
        <v>-</v>
      </c>
      <c r="AR12" s="193" t="str">
        <f t="shared" si="5"/>
        <v>-</v>
      </c>
      <c r="AS12" s="193" t="str">
        <f t="shared" si="5"/>
        <v>-</v>
      </c>
      <c r="AT12" s="59" t="str">
        <f t="shared" si="5"/>
        <v>-</v>
      </c>
      <c r="AU12" s="614" t="str">
        <f t="shared" si="5"/>
        <v>-</v>
      </c>
      <c r="AV12" s="187"/>
      <c r="AW12" s="188"/>
      <c r="AX12" s="189"/>
      <c r="AY12" s="190"/>
    </row>
    <row r="13" spans="1:51" ht="27" thickBot="1" x14ac:dyDescent="0.3">
      <c r="M13" s="492"/>
      <c r="N13" s="229"/>
      <c r="O13" s="229"/>
      <c r="P13" s="229"/>
      <c r="Q13" s="229"/>
      <c r="R13" s="229"/>
      <c r="S13" s="493"/>
      <c r="T13" s="494"/>
      <c r="U13" s="495" t="s">
        <v>296</v>
      </c>
      <c r="V13" s="620"/>
      <c r="W13" s="228"/>
      <c r="X13" s="229"/>
      <c r="Y13" s="229"/>
      <c r="Z13" s="229"/>
      <c r="AA13" s="229"/>
      <c r="AB13" s="229"/>
      <c r="AC13" s="229"/>
      <c r="AD13" s="203"/>
      <c r="AE13" s="230" t="s">
        <v>297</v>
      </c>
      <c r="AF13" s="617"/>
      <c r="AG13" s="228"/>
      <c r="AH13" s="229"/>
      <c r="AI13" s="229"/>
      <c r="AJ13" s="229"/>
      <c r="AK13" s="229"/>
      <c r="AL13" s="229"/>
      <c r="AM13" s="229"/>
      <c r="AN13" s="202"/>
      <c r="AO13" s="227" t="s">
        <v>298</v>
      </c>
      <c r="AP13" s="617"/>
      <c r="AQ13" s="234"/>
      <c r="AR13" s="229"/>
      <c r="AS13" s="235"/>
      <c r="AT13" s="233" t="s">
        <v>295</v>
      </c>
      <c r="AU13" s="615"/>
    </row>
    <row r="14" spans="1:51" ht="48" customHeight="1" x14ac:dyDescent="0.25">
      <c r="E14" s="584" t="s">
        <v>24</v>
      </c>
      <c r="F14" s="631" t="s">
        <v>586</v>
      </c>
      <c r="G14" s="632"/>
      <c r="H14" s="632"/>
      <c r="I14" s="632"/>
      <c r="J14" s="633"/>
      <c r="K14" s="295" t="s">
        <v>577</v>
      </c>
      <c r="L14" s="313" t="s">
        <v>584</v>
      </c>
      <c r="M14" s="296" t="s">
        <v>582</v>
      </c>
      <c r="N14" s="296" t="s">
        <v>583</v>
      </c>
      <c r="O14" s="297" t="s">
        <v>581</v>
      </c>
      <c r="W14" s="296" t="s">
        <v>582</v>
      </c>
      <c r="X14" s="296" t="s">
        <v>729</v>
      </c>
      <c r="Y14" s="296" t="s">
        <v>583</v>
      </c>
      <c r="Z14" s="297" t="s">
        <v>581</v>
      </c>
      <c r="AA14" s="453"/>
      <c r="AD14" s="58"/>
      <c r="AF14"/>
      <c r="AG14" s="296" t="s">
        <v>582</v>
      </c>
      <c r="AH14" s="296" t="s">
        <v>729</v>
      </c>
      <c r="AI14" s="296" t="s">
        <v>733</v>
      </c>
      <c r="AJ14" s="296" t="s">
        <v>583</v>
      </c>
      <c r="AK14" s="297" t="s">
        <v>581</v>
      </c>
      <c r="AN14" s="58"/>
      <c r="AO14" s="58"/>
      <c r="AP14"/>
      <c r="AQ14"/>
      <c r="AV14" s="58"/>
      <c r="AW14" s="58"/>
    </row>
    <row r="15" spans="1:51" ht="18.75" customHeight="1" x14ac:dyDescent="0.25">
      <c r="E15" s="585"/>
      <c r="F15" s="442" t="s">
        <v>434</v>
      </c>
      <c r="G15" s="443"/>
      <c r="H15" s="443"/>
      <c r="I15" s="443"/>
      <c r="J15" s="444"/>
      <c r="K15" s="299">
        <v>0.9</v>
      </c>
      <c r="L15" s="588">
        <v>0.6</v>
      </c>
      <c r="M15" s="299" t="e">
        <f>+V7</f>
        <v>#DIV/0!</v>
      </c>
      <c r="N15" s="299" t="str">
        <f>IFERROR((M15*100%)/K15,"-")</f>
        <v>-</v>
      </c>
      <c r="O15" s="587" t="str">
        <f>IFERROR(+M19,"-")</f>
        <v>-</v>
      </c>
      <c r="W15" s="299" t="e">
        <f>+AF7</f>
        <v>#DIV/0!</v>
      </c>
      <c r="X15" s="299" t="e">
        <f>+M15</f>
        <v>#DIV/0!</v>
      </c>
      <c r="Y15" s="299" t="str">
        <f>IFERROR(IF(AVERAGE(W15,X15)&gt;=0.9,1,(AVERAGE(W15,X15)*100%)/0.9),"-")</f>
        <v>-</v>
      </c>
      <c r="Z15" s="587" t="str">
        <f>IFERROR(+W19,"-")</f>
        <v>-</v>
      </c>
      <c r="AA15" s="591"/>
      <c r="AD15" s="58"/>
      <c r="AE15" s="58"/>
      <c r="AG15" s="299" t="e">
        <f>+AP7</f>
        <v>#DIV/0!</v>
      </c>
      <c r="AH15" s="299" t="e">
        <f>+M15</f>
        <v>#DIV/0!</v>
      </c>
      <c r="AI15" s="299" t="e">
        <f>+W15</f>
        <v>#DIV/0!</v>
      </c>
      <c r="AJ15" s="299" t="str">
        <f>IFERROR(IF(AVERAGE(AG15,AI15)&gt;=0.9,1,(AVERAGE(AG15:AI15)*100%)/0.9),"-")</f>
        <v>-</v>
      </c>
      <c r="AK15" s="628" t="str">
        <f>IFERROR(+AG19,"-")</f>
        <v>-</v>
      </c>
      <c r="AN15" s="58"/>
      <c r="AO15" s="58"/>
      <c r="AP15" s="29"/>
      <c r="AQ15" s="29"/>
      <c r="AR15" s="29"/>
      <c r="AS15" s="29"/>
      <c r="AT15" s="29"/>
      <c r="AU15" s="29"/>
    </row>
    <row r="16" spans="1:51" ht="17.25" customHeight="1" x14ac:dyDescent="0.25">
      <c r="E16" s="585"/>
      <c r="F16" s="442" t="s">
        <v>28</v>
      </c>
      <c r="G16" s="443"/>
      <c r="H16" s="443"/>
      <c r="I16" s="443"/>
      <c r="J16" s="444"/>
      <c r="K16" s="299">
        <v>0.9</v>
      </c>
      <c r="L16" s="589"/>
      <c r="M16" s="299" t="e">
        <f>+V8</f>
        <v>#DIV/0!</v>
      </c>
      <c r="N16" s="299" t="str">
        <f t="shared" ref="N16:N18" si="6">IFERROR((M16*100%)/K16,"-")</f>
        <v>-</v>
      </c>
      <c r="O16" s="587"/>
      <c r="W16" s="299" t="e">
        <f>+AF8</f>
        <v>#DIV/0!</v>
      </c>
      <c r="X16" s="299" t="e">
        <f>+M16</f>
        <v>#DIV/0!</v>
      </c>
      <c r="Y16" s="299" t="str">
        <f>IFERROR(IF(AVERAGE(W16,X16)&gt;=0.9,1,(AVERAGE(W16,X16)*100%)/0.9),"-")</f>
        <v>-</v>
      </c>
      <c r="Z16" s="587"/>
      <c r="AA16" s="592"/>
      <c r="AD16" s="58"/>
      <c r="AE16" s="58"/>
      <c r="AG16" s="299" t="e">
        <f>+AP8</f>
        <v>#DIV/0!</v>
      </c>
      <c r="AH16" s="299" t="e">
        <f>+M16</f>
        <v>#DIV/0!</v>
      </c>
      <c r="AI16" s="299" t="e">
        <f>+W16</f>
        <v>#DIV/0!</v>
      </c>
      <c r="AJ16" s="299" t="str">
        <f>IFERROR(IF(AVERAGE(AG16,AI16)&gt;=0.9,1,(AVERAGE(AG16:AI16)*100%)/0.9),"-")</f>
        <v>-</v>
      </c>
      <c r="AK16" s="629"/>
      <c r="AN16" s="58"/>
      <c r="AO16" s="58"/>
      <c r="AP16" s="29"/>
      <c r="AQ16" s="29"/>
      <c r="AR16" s="29"/>
      <c r="AS16" s="29"/>
      <c r="AT16" s="29"/>
      <c r="AU16" s="29"/>
    </row>
    <row r="17" spans="5:47" x14ac:dyDescent="0.25">
      <c r="E17" s="585"/>
      <c r="F17" s="442" t="s">
        <v>30</v>
      </c>
      <c r="G17" s="443"/>
      <c r="H17" s="443"/>
      <c r="I17" s="443"/>
      <c r="J17" s="444"/>
      <c r="K17" s="299">
        <v>0.6</v>
      </c>
      <c r="L17" s="589"/>
      <c r="M17" s="299" t="e">
        <f>+V9</f>
        <v>#DIV/0!</v>
      </c>
      <c r="N17" s="299" t="str">
        <f t="shared" si="6"/>
        <v>-</v>
      </c>
      <c r="O17" s="587"/>
      <c r="W17" s="299" t="e">
        <f>+AF9</f>
        <v>#DIV/0!</v>
      </c>
      <c r="X17" s="299" t="e">
        <f>+M17</f>
        <v>#DIV/0!</v>
      </c>
      <c r="Y17" s="299" t="str">
        <f>IFERROR(IF(AVERAGE(W17,X17)&gt;=0.6,1,(AVERAGE(W17,X17)*100%)/0.6),"-")</f>
        <v>-</v>
      </c>
      <c r="Z17" s="587"/>
      <c r="AA17" s="592"/>
      <c r="AD17" s="58"/>
      <c r="AE17" s="58"/>
      <c r="AG17" s="299" t="e">
        <f>+AP9</f>
        <v>#DIV/0!</v>
      </c>
      <c r="AH17" s="299" t="e">
        <f>+M17</f>
        <v>#DIV/0!</v>
      </c>
      <c r="AI17" s="299" t="e">
        <f>+W17</f>
        <v>#DIV/0!</v>
      </c>
      <c r="AJ17" s="299" t="str">
        <f>IFERROR(IF(AVERAGE(AG17,AI17)&gt;=0.9,1,(AVERAGE(AG17:AI17)*100%)/0.9),"-")</f>
        <v>-</v>
      </c>
      <c r="AK17" s="629"/>
      <c r="AN17" s="58"/>
      <c r="AO17" s="58"/>
      <c r="AP17" s="29"/>
      <c r="AQ17" s="29"/>
      <c r="AR17" s="29"/>
      <c r="AS17" s="29"/>
      <c r="AT17" s="29"/>
      <c r="AU17" s="29"/>
    </row>
    <row r="18" spans="5:47" x14ac:dyDescent="0.25">
      <c r="E18" s="586"/>
      <c r="F18" s="442" t="s">
        <v>32</v>
      </c>
      <c r="G18" s="443"/>
      <c r="H18" s="443"/>
      <c r="I18" s="443"/>
      <c r="J18" s="444"/>
      <c r="K18" s="299">
        <v>0.6</v>
      </c>
      <c r="L18" s="590"/>
      <c r="M18" s="299" t="e">
        <f>+V10</f>
        <v>#DIV/0!</v>
      </c>
      <c r="N18" s="299" t="str">
        <f t="shared" si="6"/>
        <v>-</v>
      </c>
      <c r="O18" s="587"/>
      <c r="W18" s="299" t="e">
        <f>+AF10</f>
        <v>#DIV/0!</v>
      </c>
      <c r="X18" s="299" t="e">
        <f>+M18</f>
        <v>#DIV/0!</v>
      </c>
      <c r="Y18" s="299" t="str">
        <f>IFERROR(IF(AVERAGE(W18,X18)&gt;=0.6,1,(AVERAGE(W18,X18)*100%)/0.6),"-")</f>
        <v>-</v>
      </c>
      <c r="Z18" s="587"/>
      <c r="AA18" s="592"/>
      <c r="AD18" s="58"/>
      <c r="AE18" s="58"/>
      <c r="AG18" s="299" t="e">
        <f>+AP10</f>
        <v>#DIV/0!</v>
      </c>
      <c r="AH18" s="299" t="e">
        <f>+M18</f>
        <v>#DIV/0!</v>
      </c>
      <c r="AI18" s="299" t="e">
        <f>+W18</f>
        <v>#DIV/0!</v>
      </c>
      <c r="AJ18" s="299" t="str">
        <f>IFERROR(IF(AVERAGE(AG18,AI18)&gt;=0.9,1,(AVERAGE(AG18:AI18)*100%)/0.9),"-")</f>
        <v>-</v>
      </c>
      <c r="AK18" s="630"/>
      <c r="AN18" s="58"/>
      <c r="AO18" s="58"/>
      <c r="AP18" s="29"/>
      <c r="AQ18" s="29"/>
      <c r="AR18" s="29"/>
      <c r="AS18" s="29"/>
      <c r="AT18" s="29"/>
      <c r="AU18" s="29"/>
    </row>
    <row r="19" spans="5:47" x14ac:dyDescent="0.25">
      <c r="F19" s="29"/>
      <c r="K19" s="56"/>
      <c r="L19" s="38"/>
      <c r="M19" s="298" t="e">
        <f>+AVERAGE(M15:M18)</f>
        <v>#DIV/0!</v>
      </c>
      <c r="N19" s="292"/>
      <c r="W19" s="298" t="e">
        <f>+AVERAGE(W15:W18)</f>
        <v>#DIV/0!</v>
      </c>
      <c r="X19" s="452"/>
      <c r="Y19" s="292"/>
      <c r="Z19" s="587"/>
      <c r="AA19" s="592"/>
      <c r="AD19" s="58"/>
      <c r="AE19" s="58"/>
      <c r="AG19" s="298" t="e">
        <f>+AVERAGE(AG15:AG18)</f>
        <v>#DIV/0!</v>
      </c>
      <c r="AH19" s="452"/>
      <c r="AI19" s="292"/>
      <c r="AJ19" s="476"/>
      <c r="AN19" s="58"/>
      <c r="AO19" s="29"/>
      <c r="AP19" s="29"/>
      <c r="AQ19" s="29"/>
      <c r="AR19" s="29"/>
      <c r="AS19" s="29"/>
      <c r="AT19" s="29"/>
      <c r="AU19" s="29"/>
    </row>
    <row r="20" spans="5:47" x14ac:dyDescent="0.25">
      <c r="AD20" s="58"/>
      <c r="AE20" s="58"/>
      <c r="AF20"/>
      <c r="AG20"/>
      <c r="AN20" s="29"/>
      <c r="AO20" s="29"/>
      <c r="AP20" s="29"/>
      <c r="AQ20" s="29"/>
      <c r="AR20" s="29"/>
      <c r="AS20" s="29"/>
      <c r="AT20" s="29"/>
      <c r="AU20" s="29"/>
    </row>
    <row r="21" spans="5:47" x14ac:dyDescent="0.25">
      <c r="AG21" s="29"/>
    </row>
  </sheetData>
  <mergeCells count="51">
    <mergeCell ref="AK15:AK18"/>
    <mergeCell ref="O15:O18"/>
    <mergeCell ref="F14:J14"/>
    <mergeCell ref="L7:L11"/>
    <mergeCell ref="K5:K6"/>
    <mergeCell ref="G11:K11"/>
    <mergeCell ref="L5:L6"/>
    <mergeCell ref="F5:F6"/>
    <mergeCell ref="F7:F11"/>
    <mergeCell ref="AW1:AY2"/>
    <mergeCell ref="AW3:AY3"/>
    <mergeCell ref="AU12:AU13"/>
    <mergeCell ref="AP12:AP13"/>
    <mergeCell ref="V5:V6"/>
    <mergeCell ref="AP5:AP6"/>
    <mergeCell ref="AE5:AE6"/>
    <mergeCell ref="AN5:AN6"/>
    <mergeCell ref="AO5:AO6"/>
    <mergeCell ref="V11:V13"/>
    <mergeCell ref="AQ5:AU5"/>
    <mergeCell ref="AF12:AF13"/>
    <mergeCell ref="C1:AV1"/>
    <mergeCell ref="C2:AV3"/>
    <mergeCell ref="AV5:AY5"/>
    <mergeCell ref="A4:D4"/>
    <mergeCell ref="A5:A6"/>
    <mergeCell ref="B5:B6"/>
    <mergeCell ref="C5:C6"/>
    <mergeCell ref="D5:D6"/>
    <mergeCell ref="AF5:AF6"/>
    <mergeCell ref="T5:T6"/>
    <mergeCell ref="U5:U6"/>
    <mergeCell ref="AD5:AD6"/>
    <mergeCell ref="G5:G6"/>
    <mergeCell ref="H5:H6"/>
    <mergeCell ref="E14:E18"/>
    <mergeCell ref="Z15:Z19"/>
    <mergeCell ref="L15:L18"/>
    <mergeCell ref="AA15:AA19"/>
    <mergeCell ref="A1:B1"/>
    <mergeCell ref="A2:B3"/>
    <mergeCell ref="I5:I6"/>
    <mergeCell ref="J5:J6"/>
    <mergeCell ref="M4:S4"/>
    <mergeCell ref="A12:L12"/>
    <mergeCell ref="D7:D11"/>
    <mergeCell ref="E7:E11"/>
    <mergeCell ref="B7:B11"/>
    <mergeCell ref="A7:A11"/>
    <mergeCell ref="C7:C11"/>
    <mergeCell ref="E5:E6"/>
  </mergeCells>
  <conditionalFormatting sqref="AU12 AQ7:AU11">
    <cfRule type="cellIs" dxfId="71" priority="13" operator="lessThan">
      <formula>0.6</formula>
    </cfRule>
    <cfRule type="cellIs" dxfId="70" priority="14" operator="between">
      <formula>60%</formula>
      <formula>79%</formula>
    </cfRule>
    <cfRule type="cellIs" dxfId="69" priority="15" operator="between">
      <formula>80%</formula>
      <formula>100%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20"/>
  <sheetViews>
    <sheetView zoomScale="70" zoomScaleNormal="70" workbookViewId="0">
      <selection activeCell="V4" sqref="V1:AS1048576"/>
    </sheetView>
  </sheetViews>
  <sheetFormatPr baseColWidth="10" defaultRowHeight="12.75" x14ac:dyDescent="0.2"/>
  <cols>
    <col min="1" max="1" width="21.42578125" style="29" customWidth="1"/>
    <col min="2" max="2" width="29.140625" style="29" customWidth="1"/>
    <col min="3" max="3" width="38.7109375" style="29" customWidth="1"/>
    <col min="4" max="4" width="31" style="29" customWidth="1"/>
    <col min="5" max="5" width="20.7109375" style="29" customWidth="1"/>
    <col min="6" max="6" width="14.42578125" style="38" customWidth="1"/>
    <col min="7" max="7" width="16.85546875" style="29" customWidth="1"/>
    <col min="8" max="8" width="25.28515625" style="29" customWidth="1"/>
    <col min="9" max="11" width="16.5703125" style="29" customWidth="1"/>
    <col min="12" max="12" width="19.42578125" style="29" customWidth="1"/>
    <col min="13" max="13" width="19.42578125" style="56" customWidth="1"/>
    <col min="14" max="14" width="19.42578125" style="29" customWidth="1"/>
    <col min="15" max="15" width="17.85546875" style="29" customWidth="1"/>
    <col min="16" max="16" width="18.140625" style="29" customWidth="1"/>
    <col min="17" max="19" width="20.42578125" style="29" customWidth="1"/>
    <col min="20" max="20" width="27.140625" style="29" customWidth="1"/>
    <col min="21" max="21" width="20.42578125" style="29" customWidth="1"/>
    <col min="22" max="22" width="22.140625" style="29" customWidth="1"/>
    <col min="23" max="23" width="19.42578125" style="56" customWidth="1"/>
    <col min="24" max="24" width="19.42578125" style="29" customWidth="1"/>
    <col min="25" max="25" width="20.140625" style="29" customWidth="1"/>
    <col min="26" max="28" width="18.140625" style="29" customWidth="1"/>
    <col min="29" max="29" width="20.42578125" style="29" customWidth="1"/>
    <col min="30" max="30" width="19.28515625" style="29" customWidth="1"/>
    <col min="31" max="31" width="27.140625" style="29" customWidth="1"/>
    <col min="32" max="32" width="20.42578125" style="29" customWidth="1"/>
    <col min="33" max="33" width="22.140625" style="29" customWidth="1"/>
    <col min="34" max="34" width="19.42578125" style="56" customWidth="1"/>
    <col min="35" max="35" width="19.42578125" style="29" customWidth="1"/>
    <col min="36" max="36" width="17.85546875" style="29" customWidth="1"/>
    <col min="37" max="39" width="18.140625" style="29" customWidth="1"/>
    <col min="40" max="40" width="20.42578125" style="29" customWidth="1"/>
    <col min="41" max="41" width="19.28515625" style="29" customWidth="1"/>
    <col min="42" max="42" width="27.140625" style="29" customWidth="1"/>
    <col min="43" max="43" width="20.42578125" style="29" customWidth="1"/>
    <col min="44" max="44" width="22.140625" style="29" customWidth="1"/>
    <col min="45" max="45" width="17.7109375" style="29" customWidth="1"/>
    <col min="46" max="46" width="17.85546875" style="29" customWidth="1"/>
    <col min="47" max="47" width="19.140625" style="29" customWidth="1"/>
    <col min="48" max="48" width="18.7109375" style="29" customWidth="1"/>
    <col min="49" max="49" width="21" style="29" customWidth="1"/>
    <col min="50" max="50" width="26.5703125" style="29" customWidth="1"/>
    <col min="51" max="51" width="24.5703125" style="29" customWidth="1"/>
    <col min="52" max="52" width="28.140625" style="29" customWidth="1"/>
    <col min="53" max="53" width="27.85546875" style="29" customWidth="1"/>
    <col min="54" max="54" width="11.42578125" style="29"/>
    <col min="55" max="55" width="11.42578125" style="29" customWidth="1"/>
    <col min="56" max="16384" width="11.42578125" style="29"/>
  </cols>
  <sheetData>
    <row r="1" spans="1:53" ht="75.75" customHeight="1" x14ac:dyDescent="0.2">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c r="AW1" s="593"/>
      <c r="AX1" s="593"/>
      <c r="AY1" s="612"/>
      <c r="AZ1" s="612"/>
      <c r="BA1" s="612"/>
    </row>
    <row r="2" spans="1:53" ht="41.25" customHeight="1" x14ac:dyDescent="0.2">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612"/>
      <c r="AZ2" s="612"/>
      <c r="BA2" s="612"/>
    </row>
    <row r="3" spans="1:53" ht="41.25" customHeight="1" x14ac:dyDescent="0.2">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593"/>
      <c r="AX3" s="593"/>
      <c r="AY3" s="613" t="s">
        <v>772</v>
      </c>
      <c r="AZ3" s="613"/>
      <c r="BA3" s="613"/>
    </row>
    <row r="4" spans="1:53" ht="32.25" customHeight="1" thickBot="1" x14ac:dyDescent="0.25">
      <c r="A4" s="627" t="s">
        <v>193</v>
      </c>
      <c r="B4" s="627"/>
      <c r="C4" s="627"/>
      <c r="D4" s="627"/>
    </row>
    <row r="5" spans="1:53" ht="43.5" customHeight="1" x14ac:dyDescent="0.2">
      <c r="A5" s="606" t="s">
        <v>1</v>
      </c>
      <c r="B5" s="594" t="s">
        <v>3</v>
      </c>
      <c r="C5" s="594" t="s">
        <v>194</v>
      </c>
      <c r="D5" s="594" t="s">
        <v>195</v>
      </c>
      <c r="E5" s="594" t="s">
        <v>196</v>
      </c>
      <c r="F5" s="642" t="s">
        <v>742</v>
      </c>
      <c r="G5" s="594" t="s">
        <v>228</v>
      </c>
      <c r="H5" s="594" t="s">
        <v>227</v>
      </c>
      <c r="I5" s="594" t="s">
        <v>8</v>
      </c>
      <c r="J5" s="594" t="s">
        <v>495</v>
      </c>
      <c r="K5" s="594" t="s">
        <v>519</v>
      </c>
      <c r="L5" s="640" t="s">
        <v>9</v>
      </c>
      <c r="M5" s="199" t="s">
        <v>526</v>
      </c>
      <c r="N5" s="216" t="s">
        <v>527</v>
      </c>
      <c r="O5" s="216" t="s">
        <v>232</v>
      </c>
      <c r="P5" s="216" t="s">
        <v>224</v>
      </c>
      <c r="Q5" s="216" t="s">
        <v>225</v>
      </c>
      <c r="R5" s="216" t="s">
        <v>290</v>
      </c>
      <c r="S5" s="216" t="s">
        <v>561</v>
      </c>
      <c r="T5" s="610" t="s">
        <v>421</v>
      </c>
      <c r="U5" s="610" t="s">
        <v>423</v>
      </c>
      <c r="V5" s="608" t="s">
        <v>488</v>
      </c>
      <c r="W5" s="199" t="s">
        <v>248</v>
      </c>
      <c r="X5" s="216" t="s">
        <v>246</v>
      </c>
      <c r="Y5" s="216" t="s">
        <v>232</v>
      </c>
      <c r="Z5" s="216" t="s">
        <v>224</v>
      </c>
      <c r="AA5" s="216" t="s">
        <v>225</v>
      </c>
      <c r="AB5" s="216" t="s">
        <v>290</v>
      </c>
      <c r="AC5" s="216" t="s">
        <v>301</v>
      </c>
      <c r="AD5" s="216" t="s">
        <v>302</v>
      </c>
      <c r="AE5" s="610" t="s">
        <v>421</v>
      </c>
      <c r="AF5" s="610" t="s">
        <v>423</v>
      </c>
      <c r="AG5" s="608" t="s">
        <v>491</v>
      </c>
      <c r="AH5" s="199" t="s">
        <v>248</v>
      </c>
      <c r="AI5" s="216" t="s">
        <v>246</v>
      </c>
      <c r="AJ5" s="216" t="s">
        <v>232</v>
      </c>
      <c r="AK5" s="216" t="s">
        <v>224</v>
      </c>
      <c r="AL5" s="216" t="s">
        <v>225</v>
      </c>
      <c r="AM5" s="216" t="s">
        <v>290</v>
      </c>
      <c r="AN5" s="216" t="s">
        <v>301</v>
      </c>
      <c r="AO5" s="216" t="s">
        <v>302</v>
      </c>
      <c r="AP5" s="610" t="s">
        <v>421</v>
      </c>
      <c r="AQ5" s="610" t="s">
        <v>423</v>
      </c>
      <c r="AR5" s="224"/>
      <c r="AS5" s="652" t="s">
        <v>11</v>
      </c>
      <c r="AT5" s="653"/>
      <c r="AU5" s="653"/>
      <c r="AV5" s="653"/>
      <c r="AW5" s="654"/>
      <c r="AX5" s="624" t="s">
        <v>557</v>
      </c>
      <c r="AY5" s="625"/>
      <c r="AZ5" s="625"/>
      <c r="BA5" s="626"/>
    </row>
    <row r="6" spans="1:53" ht="42.75" customHeight="1" x14ac:dyDescent="0.2">
      <c r="A6" s="607"/>
      <c r="B6" s="535"/>
      <c r="C6" s="535"/>
      <c r="D6" s="535"/>
      <c r="E6" s="535"/>
      <c r="F6" s="643"/>
      <c r="G6" s="535"/>
      <c r="H6" s="535"/>
      <c r="I6" s="535"/>
      <c r="J6" s="535"/>
      <c r="K6" s="535"/>
      <c r="L6" s="641"/>
      <c r="M6" s="163" t="s">
        <v>299</v>
      </c>
      <c r="N6" s="4" t="s">
        <v>299</v>
      </c>
      <c r="O6" s="4" t="s">
        <v>299</v>
      </c>
      <c r="P6" s="4" t="s">
        <v>299</v>
      </c>
      <c r="Q6" s="4" t="s">
        <v>299</v>
      </c>
      <c r="R6" s="4" t="s">
        <v>299</v>
      </c>
      <c r="S6" s="4" t="s">
        <v>299</v>
      </c>
      <c r="T6" s="611"/>
      <c r="U6" s="611"/>
      <c r="V6" s="609"/>
      <c r="W6" s="163" t="s">
        <v>288</v>
      </c>
      <c r="X6" s="4" t="s">
        <v>288</v>
      </c>
      <c r="Y6" s="4" t="s">
        <v>288</v>
      </c>
      <c r="Z6" s="4" t="s">
        <v>288</v>
      </c>
      <c r="AA6" s="4" t="s">
        <v>288</v>
      </c>
      <c r="AB6" s="4" t="s">
        <v>288</v>
      </c>
      <c r="AC6" s="4" t="s">
        <v>288</v>
      </c>
      <c r="AD6" s="4" t="s">
        <v>288</v>
      </c>
      <c r="AE6" s="611"/>
      <c r="AF6" s="611"/>
      <c r="AG6" s="609"/>
      <c r="AH6" s="163" t="s">
        <v>289</v>
      </c>
      <c r="AI6" s="4" t="s">
        <v>289</v>
      </c>
      <c r="AJ6" s="4" t="s">
        <v>289</v>
      </c>
      <c r="AK6" s="4" t="s">
        <v>289</v>
      </c>
      <c r="AL6" s="4" t="s">
        <v>289</v>
      </c>
      <c r="AM6" s="4" t="s">
        <v>289</v>
      </c>
      <c r="AN6" s="4" t="s">
        <v>289</v>
      </c>
      <c r="AO6" s="4" t="s">
        <v>289</v>
      </c>
      <c r="AP6" s="611"/>
      <c r="AQ6" s="611"/>
      <c r="AR6" s="236" t="s">
        <v>293</v>
      </c>
      <c r="AS6" s="176" t="s">
        <v>198</v>
      </c>
      <c r="AT6" s="5" t="s">
        <v>199</v>
      </c>
      <c r="AU6" s="5" t="s">
        <v>200</v>
      </c>
      <c r="AV6" s="5" t="s">
        <v>201</v>
      </c>
      <c r="AW6" s="177" t="s">
        <v>20</v>
      </c>
      <c r="AX6" s="181" t="s">
        <v>202</v>
      </c>
      <c r="AY6" s="33" t="s">
        <v>203</v>
      </c>
      <c r="AZ6" s="33" t="s">
        <v>204</v>
      </c>
      <c r="BA6" s="182" t="s">
        <v>205</v>
      </c>
    </row>
    <row r="7" spans="1:53" s="37" customFormat="1" ht="120.75" customHeight="1" x14ac:dyDescent="0.25">
      <c r="A7" s="289" t="s">
        <v>34</v>
      </c>
      <c r="B7" s="288" t="s">
        <v>35</v>
      </c>
      <c r="C7" s="288" t="s">
        <v>36</v>
      </c>
      <c r="D7" s="288" t="s">
        <v>37</v>
      </c>
      <c r="E7" s="288" t="s">
        <v>710</v>
      </c>
      <c r="F7" s="291">
        <f>+'PLAN DESARROLLO'!E8</f>
        <v>0.55000000000000004</v>
      </c>
      <c r="G7" s="6" t="s">
        <v>579</v>
      </c>
      <c r="H7" s="63" t="s">
        <v>661</v>
      </c>
      <c r="I7" s="403">
        <v>0.55000000000000004</v>
      </c>
      <c r="J7" s="6" t="s">
        <v>496</v>
      </c>
      <c r="K7" s="6" t="s">
        <v>556</v>
      </c>
      <c r="L7" s="290" t="s">
        <v>500</v>
      </c>
      <c r="M7" s="293"/>
      <c r="N7" s="55"/>
      <c r="O7" s="55"/>
      <c r="P7" s="55"/>
      <c r="Q7" s="55"/>
      <c r="R7" s="55"/>
      <c r="S7" s="55"/>
      <c r="T7" s="57"/>
      <c r="U7" s="57"/>
      <c r="V7" s="165" t="e">
        <f>+AVERAGE(M7:S7)</f>
        <v>#DIV/0!</v>
      </c>
      <c r="W7" s="164"/>
      <c r="X7" s="57"/>
      <c r="Y7" s="57"/>
      <c r="Z7" s="57"/>
      <c r="AA7" s="57"/>
      <c r="AB7" s="57"/>
      <c r="AC7" s="57"/>
      <c r="AD7" s="57"/>
      <c r="AE7" s="57"/>
      <c r="AF7" s="57"/>
      <c r="AG7" s="165" t="e">
        <f>AVERAGE(W7:AD7)</f>
        <v>#DIV/0!</v>
      </c>
      <c r="AH7" s="164"/>
      <c r="AI7" s="57"/>
      <c r="AJ7" s="57"/>
      <c r="AK7" s="57"/>
      <c r="AL7" s="57"/>
      <c r="AM7" s="57"/>
      <c r="AN7" s="57"/>
      <c r="AO7" s="57"/>
      <c r="AP7" s="57"/>
      <c r="AQ7" s="57"/>
      <c r="AR7" s="165" t="e">
        <f>+AVERAGE(AH7:AO7)</f>
        <v>#DIV/0!</v>
      </c>
      <c r="AS7" s="178" t="s">
        <v>226</v>
      </c>
      <c r="AT7" s="26" t="str">
        <f>IFERROR(IF(V7&gt;=0.35,1,(V7*100%)/0.35),"-")</f>
        <v>-</v>
      </c>
      <c r="AU7" s="26" t="str">
        <f>IFERROR(IF(AG7&gt;=0.35,1,(AH*100%)/0.35),"-")</f>
        <v>-</v>
      </c>
      <c r="AV7" s="26" t="str">
        <f>IFERROR(IF(AR7&gt;=0.35,1,(As*100%)/0.35),"-")</f>
        <v>-</v>
      </c>
      <c r="AW7" s="179" t="str">
        <f>IFERROR(AVERAGE(AS7:AV7),"-")</f>
        <v>-</v>
      </c>
      <c r="AX7" s="183"/>
      <c r="AY7" s="35"/>
      <c r="AZ7" s="36"/>
      <c r="BA7" s="184"/>
    </row>
    <row r="8" spans="1:53" s="58" customFormat="1" ht="45.6" customHeight="1" thickBot="1" x14ac:dyDescent="0.25">
      <c r="A8" s="596" t="s">
        <v>294</v>
      </c>
      <c r="B8" s="597"/>
      <c r="C8" s="597"/>
      <c r="D8" s="597"/>
      <c r="E8" s="597"/>
      <c r="F8" s="597"/>
      <c r="G8" s="597"/>
      <c r="H8" s="597"/>
      <c r="I8" s="597"/>
      <c r="J8" s="597"/>
      <c r="K8" s="598"/>
      <c r="L8" s="599"/>
      <c r="M8" s="404" t="str">
        <f t="shared" ref="M8:S8" si="0">IFERROR(AVERAGE(M7:M7),"-")</f>
        <v>-</v>
      </c>
      <c r="N8" s="405" t="str">
        <f t="shared" si="0"/>
        <v>-</v>
      </c>
      <c r="O8" s="405" t="str">
        <f t="shared" si="0"/>
        <v>-</v>
      </c>
      <c r="P8" s="405" t="str">
        <f t="shared" si="0"/>
        <v>-</v>
      </c>
      <c r="Q8" s="405" t="str">
        <f t="shared" si="0"/>
        <v>-</v>
      </c>
      <c r="R8" s="405" t="str">
        <f t="shared" si="0"/>
        <v>-</v>
      </c>
      <c r="S8" s="405" t="str">
        <f t="shared" si="0"/>
        <v>-</v>
      </c>
      <c r="T8" s="169"/>
      <c r="U8" s="130"/>
      <c r="V8" s="616" t="str">
        <f t="shared" ref="V8:AD8" si="1">IFERROR(AVERAGE(V7:V7),"-")</f>
        <v>-</v>
      </c>
      <c r="W8" s="192" t="str">
        <f t="shared" si="1"/>
        <v>-</v>
      </c>
      <c r="X8" s="193" t="str">
        <f t="shared" si="1"/>
        <v>-</v>
      </c>
      <c r="Y8" s="193" t="str">
        <f t="shared" si="1"/>
        <v>-</v>
      </c>
      <c r="Z8" s="193" t="str">
        <f t="shared" si="1"/>
        <v>-</v>
      </c>
      <c r="AA8" s="193" t="str">
        <f t="shared" si="1"/>
        <v>-</v>
      </c>
      <c r="AB8" s="193" t="str">
        <f t="shared" si="1"/>
        <v>-</v>
      </c>
      <c r="AC8" s="193" t="str">
        <f t="shared" si="1"/>
        <v>-</v>
      </c>
      <c r="AD8" s="193" t="str">
        <f t="shared" si="1"/>
        <v>-</v>
      </c>
      <c r="AE8" s="169"/>
      <c r="AF8" s="130"/>
      <c r="AG8" s="616" t="str">
        <f t="shared" ref="AG8:AO8" si="2">IFERROR(AVERAGE(AG7:AG7),"-")</f>
        <v>-</v>
      </c>
      <c r="AH8" s="192" t="str">
        <f t="shared" si="2"/>
        <v>-</v>
      </c>
      <c r="AI8" s="193" t="str">
        <f t="shared" si="2"/>
        <v>-</v>
      </c>
      <c r="AJ8" s="193" t="str">
        <f t="shared" si="2"/>
        <v>-</v>
      </c>
      <c r="AK8" s="193" t="str">
        <f t="shared" si="2"/>
        <v>-</v>
      </c>
      <c r="AL8" s="193" t="str">
        <f t="shared" si="2"/>
        <v>-</v>
      </c>
      <c r="AM8" s="193" t="str">
        <f t="shared" si="2"/>
        <v>-</v>
      </c>
      <c r="AN8" s="193" t="str">
        <f t="shared" si="2"/>
        <v>-</v>
      </c>
      <c r="AO8" s="193" t="str">
        <f t="shared" si="2"/>
        <v>-</v>
      </c>
      <c r="AP8" s="169"/>
      <c r="AQ8" s="130"/>
      <c r="AR8" s="616" t="str">
        <f t="shared" ref="AR8:AW8" si="3">IFERROR(AVERAGE(AR7:AR7),"-")</f>
        <v>-</v>
      </c>
      <c r="AS8" s="192" t="str">
        <f t="shared" si="3"/>
        <v>-</v>
      </c>
      <c r="AT8" s="193" t="str">
        <f t="shared" si="3"/>
        <v>-</v>
      </c>
      <c r="AU8" s="193" t="str">
        <f t="shared" si="3"/>
        <v>-</v>
      </c>
      <c r="AV8" s="59" t="str">
        <f t="shared" si="3"/>
        <v>-</v>
      </c>
      <c r="AW8" s="614" t="str">
        <f t="shared" si="3"/>
        <v>-</v>
      </c>
      <c r="AX8" s="187"/>
      <c r="AY8" s="188"/>
      <c r="AZ8" s="189"/>
      <c r="BA8" s="190"/>
    </row>
    <row r="9" spans="1:53" ht="26.25" thickBot="1" x14ac:dyDescent="0.25">
      <c r="M9" s="219"/>
      <c r="N9" s="195"/>
      <c r="O9" s="195"/>
      <c r="P9" s="195"/>
      <c r="Q9" s="195"/>
      <c r="R9" s="195"/>
      <c r="S9" s="195"/>
      <c r="T9" s="196"/>
      <c r="U9" s="209" t="s">
        <v>296</v>
      </c>
      <c r="V9" s="617"/>
      <c r="W9" s="217"/>
      <c r="X9" s="195"/>
      <c r="Y9" s="195"/>
      <c r="Z9" s="195"/>
      <c r="AA9" s="195"/>
      <c r="AB9" s="195"/>
      <c r="AC9" s="195"/>
      <c r="AD9" s="195"/>
      <c r="AE9" s="195"/>
      <c r="AF9" s="211" t="s">
        <v>297</v>
      </c>
      <c r="AG9" s="617"/>
      <c r="AH9" s="217"/>
      <c r="AI9" s="195"/>
      <c r="AJ9" s="195"/>
      <c r="AK9" s="195"/>
      <c r="AL9" s="195"/>
      <c r="AM9" s="195"/>
      <c r="AN9" s="195"/>
      <c r="AO9" s="195"/>
      <c r="AP9" s="196"/>
      <c r="AQ9" s="209" t="s">
        <v>298</v>
      </c>
      <c r="AR9" s="617"/>
      <c r="AS9" s="194"/>
      <c r="AT9" s="195"/>
      <c r="AU9" s="196"/>
      <c r="AV9" s="180" t="s">
        <v>295</v>
      </c>
      <c r="AW9" s="615"/>
    </row>
    <row r="10" spans="1:53" ht="45" x14ac:dyDescent="0.25">
      <c r="H10" s="649" t="s">
        <v>580</v>
      </c>
      <c r="I10" s="649"/>
      <c r="J10" s="649"/>
      <c r="K10" s="295" t="s">
        <v>577</v>
      </c>
      <c r="L10" s="313" t="s">
        <v>578</v>
      </c>
      <c r="M10" s="296" t="s">
        <v>582</v>
      </c>
      <c r="N10" s="297" t="s">
        <v>583</v>
      </c>
      <c r="O10" s="297" t="s">
        <v>581</v>
      </c>
      <c r="V10" s="56"/>
      <c r="W10" s="296" t="s">
        <v>582</v>
      </c>
      <c r="X10" s="297" t="s">
        <v>583</v>
      </c>
      <c r="Y10" s="297" t="s">
        <v>581</v>
      </c>
      <c r="Z10" s="441" t="s">
        <v>314</v>
      </c>
      <c r="AG10" s="56"/>
      <c r="AH10" s="296" t="s">
        <v>582</v>
      </c>
      <c r="AI10" s="297" t="s">
        <v>583</v>
      </c>
      <c r="AJ10" s="297" t="s">
        <v>581</v>
      </c>
      <c r="AK10" s="472" t="s">
        <v>734</v>
      </c>
      <c r="AL10" s="472" t="s">
        <v>297</v>
      </c>
    </row>
    <row r="11" spans="1:53" ht="15" x14ac:dyDescent="0.25">
      <c r="H11" s="650" t="s">
        <v>38</v>
      </c>
      <c r="I11" s="650"/>
      <c r="J11" s="650"/>
      <c r="K11" s="299">
        <v>0.55000000000000004</v>
      </c>
      <c r="L11" s="651">
        <f>+I7</f>
        <v>0.55000000000000004</v>
      </c>
      <c r="M11" s="299">
        <f>+M7</f>
        <v>0</v>
      </c>
      <c r="N11" s="299">
        <f>IFERROR(IF(M11&gt;=0.55,1,(M11*100%)/0.55),"-")</f>
        <v>0</v>
      </c>
      <c r="O11" s="587">
        <f>IFERROR(+M18,"-")</f>
        <v>0</v>
      </c>
      <c r="V11" s="56"/>
      <c r="W11" s="299">
        <f>+W7</f>
        <v>0</v>
      </c>
      <c r="X11" s="299" t="str">
        <f>IFERROR((W11*100%)/W11,"-")</f>
        <v>-</v>
      </c>
      <c r="Y11" s="628">
        <f>IFERROR(+W18,"-")</f>
        <v>0</v>
      </c>
      <c r="Z11" s="647"/>
      <c r="AG11" s="56"/>
      <c r="AH11" s="299">
        <f>+AH7</f>
        <v>0</v>
      </c>
      <c r="AI11" s="299" t="str">
        <f>IFERROR((AH11*100%)/AH11,"-")</f>
        <v>-</v>
      </c>
      <c r="AJ11" s="628">
        <f>IFERROR(+AH18,"-")</f>
        <v>0</v>
      </c>
      <c r="AK11" s="647"/>
      <c r="AL11" s="647">
        <f>+Y11</f>
        <v>0</v>
      </c>
    </row>
    <row r="12" spans="1:53" ht="15" x14ac:dyDescent="0.25">
      <c r="H12" s="650" t="s">
        <v>41</v>
      </c>
      <c r="I12" s="650"/>
      <c r="J12" s="650"/>
      <c r="K12" s="299">
        <v>0.55000000000000004</v>
      </c>
      <c r="L12" s="651"/>
      <c r="M12" s="299">
        <f>+N7</f>
        <v>0</v>
      </c>
      <c r="N12" s="299">
        <f t="shared" ref="N12:N17" si="4">IFERROR(IF(M12&gt;=0.55,1,(M12*100%)/0.55),"-")</f>
        <v>0</v>
      </c>
      <c r="O12" s="587"/>
      <c r="V12" s="56"/>
      <c r="W12" s="299">
        <f>+X7</f>
        <v>0</v>
      </c>
      <c r="X12" s="299" t="str">
        <f t="shared" ref="X12:X17" si="5">IFERROR((W12*100%)/W12,"-")</f>
        <v>-</v>
      </c>
      <c r="Y12" s="629"/>
      <c r="Z12" s="648"/>
      <c r="AG12" s="56"/>
      <c r="AH12" s="299">
        <f>+AI7</f>
        <v>0</v>
      </c>
      <c r="AI12" s="299" t="str">
        <f t="shared" ref="AI12:AI17" si="6">IFERROR((AH12*100%)/AH12,"-")</f>
        <v>-</v>
      </c>
      <c r="AJ12" s="629"/>
      <c r="AK12" s="648"/>
      <c r="AL12" s="648"/>
    </row>
    <row r="13" spans="1:53" ht="15" x14ac:dyDescent="0.25">
      <c r="H13" s="650" t="s">
        <v>607</v>
      </c>
      <c r="I13" s="650"/>
      <c r="J13" s="650"/>
      <c r="K13" s="299">
        <v>0.55000000000000004</v>
      </c>
      <c r="L13" s="651"/>
      <c r="M13" s="299">
        <f>+O7</f>
        <v>0</v>
      </c>
      <c r="N13" s="299">
        <f t="shared" si="4"/>
        <v>0</v>
      </c>
      <c r="O13" s="587"/>
      <c r="V13" s="56"/>
      <c r="W13" s="299">
        <f>+Y7</f>
        <v>0</v>
      </c>
      <c r="X13" s="299" t="str">
        <f t="shared" si="5"/>
        <v>-</v>
      </c>
      <c r="Y13" s="629"/>
      <c r="Z13" s="648"/>
      <c r="AG13" s="56"/>
      <c r="AH13" s="299">
        <f>+AJ7</f>
        <v>0</v>
      </c>
      <c r="AI13" s="299" t="str">
        <f t="shared" si="6"/>
        <v>-</v>
      </c>
      <c r="AJ13" s="629"/>
      <c r="AK13" s="648"/>
      <c r="AL13" s="648"/>
    </row>
    <row r="14" spans="1:53" ht="15" x14ac:dyDescent="0.25">
      <c r="H14" s="650" t="s">
        <v>608</v>
      </c>
      <c r="I14" s="650"/>
      <c r="J14" s="650"/>
      <c r="K14" s="299">
        <v>0.55000000000000004</v>
      </c>
      <c r="L14" s="651"/>
      <c r="M14" s="316">
        <f>+P7</f>
        <v>0</v>
      </c>
      <c r="N14" s="299">
        <f t="shared" si="4"/>
        <v>0</v>
      </c>
      <c r="O14" s="587"/>
      <c r="V14" s="56"/>
      <c r="W14" s="316">
        <f>+Z7</f>
        <v>0</v>
      </c>
      <c r="X14" s="299" t="str">
        <f t="shared" si="5"/>
        <v>-</v>
      </c>
      <c r="Y14" s="629"/>
      <c r="Z14" s="648"/>
      <c r="AG14" s="56"/>
      <c r="AH14" s="316">
        <f>+AK7</f>
        <v>0</v>
      </c>
      <c r="AI14" s="299" t="str">
        <f t="shared" si="6"/>
        <v>-</v>
      </c>
      <c r="AJ14" s="629"/>
      <c r="AK14" s="648"/>
      <c r="AL14" s="648"/>
    </row>
    <row r="15" spans="1:53" ht="15" x14ac:dyDescent="0.25">
      <c r="H15" s="650" t="s">
        <v>609</v>
      </c>
      <c r="I15" s="650"/>
      <c r="J15" s="650"/>
      <c r="K15" s="299">
        <v>0.55000000000000004</v>
      </c>
      <c r="L15" s="651"/>
      <c r="M15" s="316">
        <f>+Q7</f>
        <v>0</v>
      </c>
      <c r="N15" s="299">
        <f t="shared" si="4"/>
        <v>0</v>
      </c>
      <c r="O15" s="587"/>
      <c r="V15" s="56"/>
      <c r="W15" s="316">
        <f>+AA7</f>
        <v>0</v>
      </c>
      <c r="X15" s="299" t="str">
        <f t="shared" si="5"/>
        <v>-</v>
      </c>
      <c r="Y15" s="629"/>
      <c r="Z15" s="648"/>
      <c r="AG15" s="56"/>
      <c r="AH15" s="316">
        <f>+AL7</f>
        <v>0</v>
      </c>
      <c r="AI15" s="299" t="str">
        <f t="shared" si="6"/>
        <v>-</v>
      </c>
      <c r="AJ15" s="629"/>
      <c r="AK15" s="648"/>
      <c r="AL15" s="648"/>
    </row>
    <row r="16" spans="1:53" ht="15" x14ac:dyDescent="0.25">
      <c r="H16" s="650" t="s">
        <v>610</v>
      </c>
      <c r="I16" s="650"/>
      <c r="J16" s="650"/>
      <c r="K16" s="299">
        <v>0.55000000000000004</v>
      </c>
      <c r="L16" s="651"/>
      <c r="M16" s="316">
        <f>+R7</f>
        <v>0</v>
      </c>
      <c r="N16" s="299">
        <f t="shared" si="4"/>
        <v>0</v>
      </c>
      <c r="O16" s="587"/>
      <c r="V16" s="56"/>
      <c r="W16" s="316">
        <f>+AB7</f>
        <v>0</v>
      </c>
      <c r="X16" s="299" t="str">
        <f t="shared" si="5"/>
        <v>-</v>
      </c>
      <c r="Y16" s="629"/>
      <c r="Z16" s="648"/>
      <c r="AG16" s="56"/>
      <c r="AH16" s="316">
        <f>+AM7</f>
        <v>0</v>
      </c>
      <c r="AI16" s="299" t="str">
        <f t="shared" si="6"/>
        <v>-</v>
      </c>
      <c r="AJ16" s="629"/>
      <c r="AK16" s="648"/>
      <c r="AL16" s="648"/>
    </row>
    <row r="17" spans="8:38" ht="15" x14ac:dyDescent="0.25">
      <c r="H17" s="650" t="s">
        <v>611</v>
      </c>
      <c r="I17" s="650"/>
      <c r="J17" s="650"/>
      <c r="K17" s="299">
        <v>0.55000000000000004</v>
      </c>
      <c r="L17" s="651"/>
      <c r="M17" s="316">
        <f>+S7</f>
        <v>0</v>
      </c>
      <c r="N17" s="299">
        <f t="shared" si="4"/>
        <v>0</v>
      </c>
      <c r="O17" s="587"/>
      <c r="V17" s="56"/>
      <c r="W17" s="316">
        <f>+AC7</f>
        <v>0</v>
      </c>
      <c r="X17" s="299" t="str">
        <f t="shared" si="5"/>
        <v>-</v>
      </c>
      <c r="Y17" s="629"/>
      <c r="Z17" s="648"/>
      <c r="AG17" s="56"/>
      <c r="AH17" s="316">
        <f>+AN7</f>
        <v>0</v>
      </c>
      <c r="AI17" s="299" t="str">
        <f t="shared" si="6"/>
        <v>-</v>
      </c>
      <c r="AJ17" s="629"/>
      <c r="AK17" s="648"/>
      <c r="AL17" s="648"/>
    </row>
    <row r="18" spans="8:38" ht="14.25" x14ac:dyDescent="0.2">
      <c r="M18" s="503">
        <f>+AVERAGE(M11:M17)</f>
        <v>0</v>
      </c>
      <c r="V18" s="56"/>
      <c r="W18" s="396">
        <f>+AVERAGE(W11:W17)</f>
        <v>0</v>
      </c>
      <c r="AG18" s="56"/>
      <c r="AH18" s="396">
        <f>+AVERAGE(AH11:AH17)</f>
        <v>0</v>
      </c>
    </row>
    <row r="19" spans="8:38" x14ac:dyDescent="0.2">
      <c r="L19" s="294"/>
      <c r="M19" s="29"/>
      <c r="V19" s="56"/>
      <c r="W19" s="29"/>
      <c r="AG19" s="56"/>
      <c r="AH19" s="29"/>
    </row>
    <row r="20" spans="8:38" x14ac:dyDescent="0.2">
      <c r="L20" s="56"/>
      <c r="M20" s="29"/>
      <c r="V20" s="56"/>
      <c r="W20" s="29"/>
      <c r="AG20" s="56"/>
      <c r="AH20" s="29"/>
    </row>
  </sheetData>
  <mergeCells count="49">
    <mergeCell ref="AJ11:AJ17"/>
    <mergeCell ref="AK11:AK17"/>
    <mergeCell ref="AL11:AL17"/>
    <mergeCell ref="AS5:AW5"/>
    <mergeCell ref="G5:G6"/>
    <mergeCell ref="H5:H6"/>
    <mergeCell ref="I5:I6"/>
    <mergeCell ref="AW8:AW9"/>
    <mergeCell ref="A8:L8"/>
    <mergeCell ref="V8:V9"/>
    <mergeCell ref="AG8:AG9"/>
    <mergeCell ref="AR8:AR9"/>
    <mergeCell ref="AF5:AF6"/>
    <mergeCell ref="V5:V6"/>
    <mergeCell ref="L5:L6"/>
    <mergeCell ref="J5:J6"/>
    <mergeCell ref="A1:B1"/>
    <mergeCell ref="C1:AX1"/>
    <mergeCell ref="A5:A6"/>
    <mergeCell ref="B5:B6"/>
    <mergeCell ref="C5:C6"/>
    <mergeCell ref="D5:D6"/>
    <mergeCell ref="AX5:BA5"/>
    <mergeCell ref="AP5:AP6"/>
    <mergeCell ref="AQ5:AQ6"/>
    <mergeCell ref="U5:U6"/>
    <mergeCell ref="AE5:AE6"/>
    <mergeCell ref="AG5:AG6"/>
    <mergeCell ref="AY1:BA2"/>
    <mergeCell ref="A2:B3"/>
    <mergeCell ref="E5:E6"/>
    <mergeCell ref="F5:F6"/>
    <mergeCell ref="Z11:Z17"/>
    <mergeCell ref="Y11:Y17"/>
    <mergeCell ref="H10:J10"/>
    <mergeCell ref="H11:J11"/>
    <mergeCell ref="H12:J12"/>
    <mergeCell ref="H13:J13"/>
    <mergeCell ref="H14:J14"/>
    <mergeCell ref="L11:L17"/>
    <mergeCell ref="O11:O17"/>
    <mergeCell ref="H15:J15"/>
    <mergeCell ref="H16:J16"/>
    <mergeCell ref="H17:J17"/>
    <mergeCell ref="C2:AX3"/>
    <mergeCell ref="AY3:BA3"/>
    <mergeCell ref="A4:D4"/>
    <mergeCell ref="T5:T6"/>
    <mergeCell ref="K5:K6"/>
  </mergeCells>
  <conditionalFormatting sqref="AW8 AS7:AW7">
    <cfRule type="cellIs" dxfId="68" priority="1" operator="lessThan">
      <formula>0.6</formula>
    </cfRule>
    <cfRule type="cellIs" dxfId="67" priority="2" operator="between">
      <formula>60%</formula>
      <formula>79%</formula>
    </cfRule>
    <cfRule type="cellIs" dxfId="66" priority="3" operator="between">
      <formula>80%</formula>
      <formula>100%</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9"/>
  <sheetViews>
    <sheetView zoomScale="70" zoomScaleNormal="70" workbookViewId="0">
      <selection activeCell="L4" sqref="L1:M1048576"/>
    </sheetView>
  </sheetViews>
  <sheetFormatPr baseColWidth="10" defaultRowHeight="12.75" x14ac:dyDescent="0.2"/>
  <cols>
    <col min="1" max="1" width="21.42578125" style="29" customWidth="1"/>
    <col min="2" max="2" width="29.140625" style="29" customWidth="1"/>
    <col min="3" max="3" width="38.7109375" style="29" customWidth="1"/>
    <col min="4" max="4" width="31" style="29" customWidth="1"/>
    <col min="5" max="5" width="25.140625" style="29" customWidth="1"/>
    <col min="6" max="6" width="14.42578125" style="38" customWidth="1"/>
    <col min="7" max="7" width="25.85546875" style="29" customWidth="1"/>
    <col min="8" max="8" width="35.28515625" style="75" customWidth="1"/>
    <col min="9" max="9" width="16.5703125" style="29" customWidth="1"/>
    <col min="10" max="10" width="16.42578125" style="29" customWidth="1"/>
    <col min="11" max="11" width="19.7109375" style="29" customWidth="1"/>
    <col min="12" max="12" width="19.42578125" style="29" customWidth="1"/>
    <col min="13" max="13" width="19.42578125" style="56" customWidth="1"/>
    <col min="14" max="14" width="28.140625" style="29" customWidth="1"/>
    <col min="15" max="15" width="20.42578125" style="29" customWidth="1"/>
    <col min="16" max="16" width="22.140625" style="29" customWidth="1"/>
    <col min="17" max="17" width="19.42578125" style="56" hidden="1" customWidth="1"/>
    <col min="18" max="18" width="23.42578125" style="29" hidden="1" customWidth="1"/>
    <col min="19" max="19" width="20.42578125" style="29" hidden="1" customWidth="1"/>
    <col min="20" max="20" width="22.140625" style="29" hidden="1" customWidth="1"/>
    <col min="21" max="21" width="19.42578125" style="56" hidden="1" customWidth="1"/>
    <col min="22" max="22" width="23.42578125" style="29" hidden="1" customWidth="1"/>
    <col min="23" max="23" width="20.42578125" style="29" hidden="1" customWidth="1"/>
    <col min="24" max="24" width="22.140625" style="29" hidden="1" customWidth="1"/>
    <col min="25" max="25" width="17.7109375" style="29" customWidth="1"/>
    <col min="26" max="26" width="17.85546875" style="29" customWidth="1"/>
    <col min="27" max="27" width="19.140625" style="29" customWidth="1"/>
    <col min="28" max="28" width="18.7109375" style="29" customWidth="1"/>
    <col min="29" max="29" width="21" style="29" customWidth="1"/>
    <col min="30" max="30" width="26.5703125" style="29" customWidth="1"/>
    <col min="31" max="31" width="24.5703125" style="29" customWidth="1"/>
    <col min="32" max="32" width="28.140625" style="29" customWidth="1"/>
    <col min="33" max="33" width="27.85546875" style="29" customWidth="1"/>
    <col min="34" max="34" width="11.42578125" style="29"/>
    <col min="35" max="35" width="11.42578125" style="29" customWidth="1"/>
    <col min="36" max="16384" width="11.42578125" style="29"/>
  </cols>
  <sheetData>
    <row r="1" spans="1:33" ht="75.75" customHeight="1" x14ac:dyDescent="0.2">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612"/>
      <c r="AF1" s="612"/>
      <c r="AG1" s="612"/>
    </row>
    <row r="2" spans="1:33" ht="41.25" customHeight="1" x14ac:dyDescent="0.2">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612"/>
      <c r="AF2" s="612"/>
      <c r="AG2" s="612"/>
    </row>
    <row r="3" spans="1:33" ht="41.25" customHeight="1" x14ac:dyDescent="0.2">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613" t="s">
        <v>772</v>
      </c>
      <c r="AF3" s="613"/>
      <c r="AG3" s="613"/>
    </row>
    <row r="4" spans="1:33" ht="32.25" customHeight="1" thickBot="1" x14ac:dyDescent="0.25">
      <c r="A4" s="627" t="s">
        <v>193</v>
      </c>
      <c r="B4" s="627"/>
      <c r="C4" s="627"/>
      <c r="D4" s="627"/>
    </row>
    <row r="5" spans="1:33" ht="57" customHeight="1" x14ac:dyDescent="0.2">
      <c r="A5" s="606" t="s">
        <v>1</v>
      </c>
      <c r="B5" s="594" t="s">
        <v>3</v>
      </c>
      <c r="C5" s="594" t="s">
        <v>194</v>
      </c>
      <c r="D5" s="594" t="s">
        <v>195</v>
      </c>
      <c r="E5" s="594" t="s">
        <v>196</v>
      </c>
      <c r="F5" s="642" t="s">
        <v>742</v>
      </c>
      <c r="G5" s="594" t="s">
        <v>228</v>
      </c>
      <c r="H5" s="594" t="s">
        <v>227</v>
      </c>
      <c r="I5" s="594" t="s">
        <v>8</v>
      </c>
      <c r="J5" s="594" t="s">
        <v>495</v>
      </c>
      <c r="K5" s="594" t="s">
        <v>519</v>
      </c>
      <c r="L5" s="640" t="s">
        <v>9</v>
      </c>
      <c r="M5" s="199" t="s">
        <v>770</v>
      </c>
      <c r="N5" s="610" t="s">
        <v>421</v>
      </c>
      <c r="O5" s="610" t="s">
        <v>423</v>
      </c>
      <c r="P5" s="608" t="s">
        <v>488</v>
      </c>
      <c r="Q5" s="199" t="s">
        <v>770</v>
      </c>
      <c r="R5" s="610" t="s">
        <v>421</v>
      </c>
      <c r="S5" s="610" t="s">
        <v>423</v>
      </c>
      <c r="T5" s="608" t="s">
        <v>491</v>
      </c>
      <c r="U5" s="199" t="s">
        <v>770</v>
      </c>
      <c r="V5" s="610" t="s">
        <v>421</v>
      </c>
      <c r="W5" s="610" t="s">
        <v>423</v>
      </c>
      <c r="X5" s="608" t="s">
        <v>493</v>
      </c>
      <c r="Y5" s="652" t="s">
        <v>11</v>
      </c>
      <c r="Z5" s="653"/>
      <c r="AA5" s="653"/>
      <c r="AB5" s="653"/>
      <c r="AC5" s="654"/>
      <c r="AD5" s="624" t="s">
        <v>771</v>
      </c>
      <c r="AE5" s="625"/>
      <c r="AF5" s="625"/>
      <c r="AG5" s="626"/>
    </row>
    <row r="6" spans="1:33" ht="63" customHeight="1" x14ac:dyDescent="0.2">
      <c r="A6" s="607"/>
      <c r="B6" s="535"/>
      <c r="C6" s="535"/>
      <c r="D6" s="535"/>
      <c r="E6" s="535"/>
      <c r="F6" s="643"/>
      <c r="G6" s="535"/>
      <c r="H6" s="535"/>
      <c r="I6" s="535"/>
      <c r="J6" s="535"/>
      <c r="K6" s="535"/>
      <c r="L6" s="641"/>
      <c r="M6" s="163" t="s">
        <v>299</v>
      </c>
      <c r="N6" s="611"/>
      <c r="O6" s="611"/>
      <c r="P6" s="609"/>
      <c r="Q6" s="163" t="s">
        <v>288</v>
      </c>
      <c r="R6" s="611"/>
      <c r="S6" s="611"/>
      <c r="T6" s="609"/>
      <c r="U6" s="163" t="s">
        <v>289</v>
      </c>
      <c r="V6" s="611"/>
      <c r="W6" s="611"/>
      <c r="X6" s="609"/>
      <c r="Y6" s="176" t="s">
        <v>198</v>
      </c>
      <c r="Z6" s="5" t="s">
        <v>199</v>
      </c>
      <c r="AA6" s="5" t="s">
        <v>200</v>
      </c>
      <c r="AB6" s="5" t="s">
        <v>201</v>
      </c>
      <c r="AC6" s="177" t="s">
        <v>20</v>
      </c>
      <c r="AD6" s="181" t="s">
        <v>202</v>
      </c>
      <c r="AE6" s="33" t="s">
        <v>203</v>
      </c>
      <c r="AF6" s="33" t="s">
        <v>204</v>
      </c>
      <c r="AG6" s="182" t="s">
        <v>205</v>
      </c>
    </row>
    <row r="7" spans="1:33" s="37" customFormat="1" ht="140.25" customHeight="1" x14ac:dyDescent="0.25">
      <c r="A7" s="500" t="s">
        <v>48</v>
      </c>
      <c r="B7" s="499" t="s">
        <v>306</v>
      </c>
      <c r="C7" s="499" t="s">
        <v>214</v>
      </c>
      <c r="D7" s="499" t="s">
        <v>307</v>
      </c>
      <c r="E7" s="499" t="s">
        <v>308</v>
      </c>
      <c r="F7" s="498" t="s">
        <v>310</v>
      </c>
      <c r="G7" s="505" t="s">
        <v>747</v>
      </c>
      <c r="H7" s="505" t="s">
        <v>484</v>
      </c>
      <c r="I7" s="6">
        <v>1</v>
      </c>
      <c r="J7" s="12" t="s">
        <v>496</v>
      </c>
      <c r="K7" s="11" t="s">
        <v>576</v>
      </c>
      <c r="L7" s="497" t="s">
        <v>413</v>
      </c>
      <c r="M7" s="164"/>
      <c r="N7" s="55" t="s">
        <v>748</v>
      </c>
      <c r="O7" s="55"/>
      <c r="P7" s="165" t="e">
        <f>+AVERAGE(M7:M7)</f>
        <v>#DIV/0!</v>
      </c>
      <c r="Q7" s="164"/>
      <c r="R7" s="55"/>
      <c r="S7" s="55"/>
      <c r="T7" s="165" t="e">
        <f>+AVERAGE(Q7:Q7)</f>
        <v>#DIV/0!</v>
      </c>
      <c r="U7" s="248"/>
      <c r="V7" s="55"/>
      <c r="W7" s="55"/>
      <c r="X7" s="249" t="e">
        <f>+(AVERAGE(U7:U7))</f>
        <v>#DIV/0!</v>
      </c>
      <c r="Y7" s="26" t="s">
        <v>226</v>
      </c>
      <c r="Z7" s="26" t="str">
        <f>IFERROR(IF(P7=1,1,(P7*100%)/1),"-")</f>
        <v>-</v>
      </c>
      <c r="AA7" s="26" t="str">
        <f>IFERROR(IF(T7=1,1,(T7*100%)/1),"-")</f>
        <v>-</v>
      </c>
      <c r="AB7" s="26" t="str">
        <f>IFERROR(IF(X7=1,1,(X7*100%)/1),"-")</f>
        <v>-</v>
      </c>
      <c r="AC7" s="179" t="str">
        <f>IFERROR(AVERAGE(Y7:AB7),"-")</f>
        <v>-</v>
      </c>
      <c r="AD7" s="183"/>
      <c r="AE7" s="35"/>
      <c r="AF7" s="36"/>
      <c r="AG7" s="184"/>
    </row>
    <row r="8" spans="1:33" s="58" customFormat="1" ht="45.6" customHeight="1" thickBot="1" x14ac:dyDescent="0.25">
      <c r="A8" s="596" t="s">
        <v>294</v>
      </c>
      <c r="B8" s="597"/>
      <c r="C8" s="597"/>
      <c r="D8" s="597"/>
      <c r="E8" s="597"/>
      <c r="F8" s="597"/>
      <c r="G8" s="597"/>
      <c r="H8" s="597"/>
      <c r="I8" s="597"/>
      <c r="J8" s="597"/>
      <c r="K8" s="598"/>
      <c r="L8" s="599"/>
      <c r="M8" s="246" t="str">
        <f t="shared" ref="M8" si="0">IFERROR(AVERAGE(M7:M7),"-")</f>
        <v>-</v>
      </c>
      <c r="N8" s="247"/>
      <c r="O8" s="245"/>
      <c r="P8" s="655" t="str">
        <f>IFERROR(AVERAGE(P7:P7),"-")</f>
        <v>-</v>
      </c>
      <c r="Q8" s="246" t="str">
        <f t="shared" ref="Q8" si="1">IFERROR(AVERAGE(Q7:Q7),"-")</f>
        <v>-</v>
      </c>
      <c r="R8" s="247"/>
      <c r="S8" s="245"/>
      <c r="T8" s="655" t="str">
        <f t="shared" ref="T8:U8" si="2">IFERROR(AVERAGE(T7:T7),"-")</f>
        <v>-</v>
      </c>
      <c r="U8" s="246" t="str">
        <f t="shared" si="2"/>
        <v>-</v>
      </c>
      <c r="V8" s="247"/>
      <c r="W8" s="245"/>
      <c r="X8" s="655" t="str">
        <f t="shared" ref="X8:AC8" si="3">IFERROR(AVERAGE(X7:X7),"-")</f>
        <v>-</v>
      </c>
      <c r="Y8" s="192" t="str">
        <f t="shared" si="3"/>
        <v>-</v>
      </c>
      <c r="Z8" s="193" t="str">
        <f t="shared" si="3"/>
        <v>-</v>
      </c>
      <c r="AA8" s="193" t="str">
        <f t="shared" si="3"/>
        <v>-</v>
      </c>
      <c r="AB8" s="59" t="str">
        <f t="shared" si="3"/>
        <v>-</v>
      </c>
      <c r="AC8" s="614" t="str">
        <f t="shared" si="3"/>
        <v>-</v>
      </c>
      <c r="AD8" s="187"/>
      <c r="AE8" s="188"/>
      <c r="AF8" s="189"/>
      <c r="AG8" s="190"/>
    </row>
    <row r="9" spans="1:33" ht="26.25" thickBot="1" x14ac:dyDescent="0.25">
      <c r="M9" s="219"/>
      <c r="N9" s="196"/>
      <c r="O9" s="209" t="s">
        <v>296</v>
      </c>
      <c r="P9" s="656"/>
      <c r="Q9" s="217"/>
      <c r="R9" s="196"/>
      <c r="S9" s="208" t="s">
        <v>297</v>
      </c>
      <c r="T9" s="656"/>
      <c r="U9" s="217"/>
      <c r="V9" s="196"/>
      <c r="W9" s="208" t="s">
        <v>298</v>
      </c>
      <c r="X9" s="656"/>
      <c r="Y9" s="194"/>
      <c r="Z9" s="195"/>
      <c r="AA9" s="196"/>
      <c r="AB9" s="180" t="s">
        <v>295</v>
      </c>
      <c r="AC9" s="615"/>
    </row>
  </sheetData>
  <mergeCells count="35">
    <mergeCell ref="A1:B1"/>
    <mergeCell ref="C1:AD1"/>
    <mergeCell ref="AE1:AG2"/>
    <mergeCell ref="A2:B3"/>
    <mergeCell ref="C2:AD3"/>
    <mergeCell ref="AE3:AG3"/>
    <mergeCell ref="A4:D4"/>
    <mergeCell ref="A5:A6"/>
    <mergeCell ref="B5:B6"/>
    <mergeCell ref="C5:C6"/>
    <mergeCell ref="D5:D6"/>
    <mergeCell ref="AD5:AG5"/>
    <mergeCell ref="X5:X6"/>
    <mergeCell ref="N5:N6"/>
    <mergeCell ref="O5:O6"/>
    <mergeCell ref="R5:R6"/>
    <mergeCell ref="S5:S6"/>
    <mergeCell ref="V5:V6"/>
    <mergeCell ref="W5:W6"/>
    <mergeCell ref="K5:K6"/>
    <mergeCell ref="AC8:AC9"/>
    <mergeCell ref="A8:L8"/>
    <mergeCell ref="P8:P9"/>
    <mergeCell ref="T8:T9"/>
    <mergeCell ref="X8:X9"/>
    <mergeCell ref="L5:L6"/>
    <mergeCell ref="P5:P6"/>
    <mergeCell ref="T5:T6"/>
    <mergeCell ref="Y5:AC5"/>
    <mergeCell ref="J5:J6"/>
    <mergeCell ref="E5:E6"/>
    <mergeCell ref="F5:F6"/>
    <mergeCell ref="G5:G6"/>
    <mergeCell ref="H5:H6"/>
    <mergeCell ref="I5:I6"/>
  </mergeCells>
  <conditionalFormatting sqref="AC8 Y7:AC7">
    <cfRule type="cellIs" dxfId="65" priority="1" operator="lessThan">
      <formula>0.6</formula>
    </cfRule>
    <cfRule type="cellIs" dxfId="64" priority="2" operator="between">
      <formula>60%</formula>
      <formula>79%</formula>
    </cfRule>
    <cfRule type="cellIs" dxfId="63" priority="3" operator="between">
      <formula>80%</formula>
      <formula>100%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I21"/>
  <sheetViews>
    <sheetView topLeftCell="A2" zoomScale="70" zoomScaleNormal="70" workbookViewId="0">
      <selection activeCell="Z4" sqref="Z1:BA1048576"/>
    </sheetView>
  </sheetViews>
  <sheetFormatPr baseColWidth="10" defaultRowHeight="12.75" x14ac:dyDescent="0.2"/>
  <cols>
    <col min="1" max="1" width="21.42578125" style="29" customWidth="1"/>
    <col min="2" max="2" width="29.140625" style="29" customWidth="1"/>
    <col min="3" max="3" width="38.7109375" style="29" customWidth="1"/>
    <col min="4" max="4" width="31" style="29" customWidth="1"/>
    <col min="5" max="5" width="20.7109375" style="29" customWidth="1"/>
    <col min="6" max="6" width="14.42578125" style="38" customWidth="1"/>
    <col min="7" max="7" width="25.85546875" style="29" customWidth="1"/>
    <col min="8" max="8" width="35.28515625" style="75" customWidth="1"/>
    <col min="9" max="9" width="16.5703125" style="29" customWidth="1"/>
    <col min="10" max="10" width="15.140625" style="29" customWidth="1"/>
    <col min="11" max="11" width="18.140625" style="29" customWidth="1"/>
    <col min="12" max="12" width="19.42578125" style="29" customWidth="1"/>
    <col min="13" max="14" width="19.42578125" style="56" customWidth="1"/>
    <col min="15" max="15" width="19.42578125" style="29" customWidth="1"/>
    <col min="16" max="16" width="17.85546875" style="29" customWidth="1"/>
    <col min="17" max="17" width="18.140625" style="29" customWidth="1"/>
    <col min="18" max="23" width="20.42578125" style="29" customWidth="1"/>
    <col min="24" max="24" width="41.42578125" style="29" customWidth="1"/>
    <col min="25" max="25" width="27" style="29" customWidth="1"/>
    <col min="26" max="26" width="22.140625" style="29" customWidth="1"/>
    <col min="27" max="27" width="19.42578125" style="56" customWidth="1"/>
    <col min="28" max="28" width="19.42578125" style="29" customWidth="1"/>
    <col min="29" max="29" width="19.140625" style="29" customWidth="1"/>
    <col min="30" max="35" width="18.140625" style="29" customWidth="1"/>
    <col min="36" max="36" width="20.42578125" style="29" customWidth="1"/>
    <col min="37" max="37" width="41.42578125" style="29" customWidth="1"/>
    <col min="38" max="38" width="27" style="29" customWidth="1"/>
    <col min="39" max="39" width="22.140625" style="29" customWidth="1"/>
    <col min="40" max="40" width="19.42578125" style="56" customWidth="1"/>
    <col min="41" max="41" width="19.42578125" style="29" customWidth="1"/>
    <col min="42" max="42" width="17.85546875" style="29" customWidth="1"/>
    <col min="43" max="48" width="18.140625" style="29" customWidth="1"/>
    <col min="49" max="49" width="20.42578125" style="29" customWidth="1"/>
    <col min="50" max="50" width="41.42578125" style="29" customWidth="1"/>
    <col min="51" max="51" width="27" style="29" customWidth="1"/>
    <col min="52" max="52" width="22.140625" style="29" customWidth="1"/>
    <col min="53" max="53" width="17.7109375" style="29" customWidth="1"/>
    <col min="54" max="54" width="17.85546875" style="29" customWidth="1"/>
    <col min="55" max="55" width="19.140625" style="29" customWidth="1"/>
    <col min="56" max="56" width="18.7109375" style="29" customWidth="1"/>
    <col min="57" max="57" width="21" style="29" customWidth="1"/>
    <col min="58" max="58" width="26.5703125" style="29" customWidth="1"/>
    <col min="59" max="59" width="24.5703125" style="29" customWidth="1"/>
    <col min="60" max="60" width="28.140625" style="29" customWidth="1"/>
    <col min="61" max="61" width="27.85546875" style="29" customWidth="1"/>
    <col min="62" max="62" width="11.42578125" style="29"/>
    <col min="63" max="63" width="11.42578125" style="29" customWidth="1"/>
    <col min="64" max="16384" width="11.42578125" style="29"/>
  </cols>
  <sheetData>
    <row r="1" spans="1:61" ht="75.75" customHeight="1" x14ac:dyDescent="0.2">
      <c r="A1" s="593" t="s">
        <v>192</v>
      </c>
      <c r="B1" s="593"/>
      <c r="C1" s="593" t="s">
        <v>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c r="AW1" s="593"/>
      <c r="AX1" s="593"/>
      <c r="AY1" s="593"/>
      <c r="AZ1" s="593"/>
      <c r="BA1" s="593"/>
      <c r="BB1" s="593"/>
      <c r="BC1" s="593"/>
      <c r="BD1" s="593"/>
      <c r="BE1" s="593"/>
      <c r="BF1" s="593"/>
      <c r="BG1" s="612"/>
      <c r="BH1" s="612"/>
      <c r="BI1" s="612"/>
    </row>
    <row r="2" spans="1:61" ht="41.25" customHeight="1" x14ac:dyDescent="0.2">
      <c r="A2" s="593" t="s">
        <v>773</v>
      </c>
      <c r="B2" s="593"/>
      <c r="C2" s="593" t="s">
        <v>345</v>
      </c>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593"/>
      <c r="AZ2" s="593"/>
      <c r="BA2" s="593"/>
      <c r="BB2" s="593"/>
      <c r="BC2" s="593"/>
      <c r="BD2" s="593"/>
      <c r="BE2" s="593"/>
      <c r="BF2" s="593"/>
      <c r="BG2" s="612"/>
      <c r="BH2" s="612"/>
      <c r="BI2" s="612"/>
    </row>
    <row r="3" spans="1:61" ht="41.25" customHeight="1" x14ac:dyDescent="0.2">
      <c r="A3" s="593"/>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593"/>
      <c r="AX3" s="593"/>
      <c r="AY3" s="593"/>
      <c r="AZ3" s="593"/>
      <c r="BA3" s="593"/>
      <c r="BB3" s="593"/>
      <c r="BC3" s="593"/>
      <c r="BD3" s="593"/>
      <c r="BE3" s="593"/>
      <c r="BF3" s="593"/>
      <c r="BG3" s="613" t="s">
        <v>772</v>
      </c>
      <c r="BH3" s="613"/>
      <c r="BI3" s="613"/>
    </row>
    <row r="4" spans="1:61" ht="32.25" customHeight="1" thickBot="1" x14ac:dyDescent="0.25">
      <c r="A4" s="627" t="s">
        <v>193</v>
      </c>
      <c r="B4" s="627"/>
      <c r="C4" s="627"/>
      <c r="D4" s="627"/>
    </row>
    <row r="5" spans="1:61" ht="48.75" customHeight="1" x14ac:dyDescent="0.2">
      <c r="A5" s="606" t="s">
        <v>1</v>
      </c>
      <c r="B5" s="594" t="s">
        <v>3</v>
      </c>
      <c r="C5" s="594" t="s">
        <v>194</v>
      </c>
      <c r="D5" s="594" t="s">
        <v>195</v>
      </c>
      <c r="E5" s="594" t="s">
        <v>235</v>
      </c>
      <c r="F5" s="642" t="s">
        <v>742</v>
      </c>
      <c r="G5" s="594" t="s">
        <v>228</v>
      </c>
      <c r="H5" s="594" t="s">
        <v>227</v>
      </c>
      <c r="I5" s="594" t="s">
        <v>8</v>
      </c>
      <c r="J5" s="594" t="s">
        <v>495</v>
      </c>
      <c r="K5" s="594" t="s">
        <v>519</v>
      </c>
      <c r="L5" s="640" t="s">
        <v>9</v>
      </c>
      <c r="M5" s="401" t="s">
        <v>420</v>
      </c>
      <c r="N5" s="400" t="s">
        <v>243</v>
      </c>
      <c r="O5" s="65" t="s">
        <v>526</v>
      </c>
      <c r="P5" s="65" t="s">
        <v>527</v>
      </c>
      <c r="Q5" s="65" t="s">
        <v>232</v>
      </c>
      <c r="R5" s="65" t="s">
        <v>224</v>
      </c>
      <c r="S5" s="65" t="s">
        <v>225</v>
      </c>
      <c r="T5" s="400" t="s">
        <v>290</v>
      </c>
      <c r="U5" s="400" t="s">
        <v>561</v>
      </c>
      <c r="V5" s="400" t="s">
        <v>511</v>
      </c>
      <c r="W5" s="519" t="s">
        <v>844</v>
      </c>
      <c r="X5" s="610" t="s">
        <v>421</v>
      </c>
      <c r="Y5" s="610" t="s">
        <v>423</v>
      </c>
      <c r="Z5" s="663" t="s">
        <v>291</v>
      </c>
      <c r="AA5" s="206" t="s">
        <v>420</v>
      </c>
      <c r="AB5" s="270" t="s">
        <v>243</v>
      </c>
      <c r="AC5" s="270" t="s">
        <v>526</v>
      </c>
      <c r="AD5" s="270" t="s">
        <v>527</v>
      </c>
      <c r="AE5" s="270" t="s">
        <v>232</v>
      </c>
      <c r="AF5" s="270" t="s">
        <v>224</v>
      </c>
      <c r="AG5" s="270" t="s">
        <v>225</v>
      </c>
      <c r="AH5" s="270" t="s">
        <v>290</v>
      </c>
      <c r="AI5" s="270" t="s">
        <v>561</v>
      </c>
      <c r="AJ5" s="270" t="s">
        <v>511</v>
      </c>
      <c r="AK5" s="610" t="s">
        <v>421</v>
      </c>
      <c r="AL5" s="610" t="s">
        <v>423</v>
      </c>
      <c r="AM5" s="608" t="s">
        <v>292</v>
      </c>
      <c r="AN5" s="206" t="s">
        <v>420</v>
      </c>
      <c r="AO5" s="270" t="s">
        <v>243</v>
      </c>
      <c r="AP5" s="270" t="s">
        <v>526</v>
      </c>
      <c r="AQ5" s="270" t="s">
        <v>527</v>
      </c>
      <c r="AR5" s="270" t="s">
        <v>232</v>
      </c>
      <c r="AS5" s="270" t="s">
        <v>224</v>
      </c>
      <c r="AT5" s="270" t="s">
        <v>225</v>
      </c>
      <c r="AU5" s="270" t="s">
        <v>290</v>
      </c>
      <c r="AV5" s="270" t="s">
        <v>561</v>
      </c>
      <c r="AW5" s="270" t="s">
        <v>511</v>
      </c>
      <c r="AX5" s="610" t="s">
        <v>421</v>
      </c>
      <c r="AY5" s="610" t="s">
        <v>423</v>
      </c>
      <c r="AZ5" s="642" t="s">
        <v>293</v>
      </c>
      <c r="BA5" s="665" t="s">
        <v>11</v>
      </c>
      <c r="BB5" s="666"/>
      <c r="BC5" s="666"/>
      <c r="BD5" s="666"/>
      <c r="BE5" s="667"/>
      <c r="BF5" s="660" t="s">
        <v>557</v>
      </c>
      <c r="BG5" s="661"/>
      <c r="BH5" s="661"/>
      <c r="BI5" s="662"/>
    </row>
    <row r="6" spans="1:61" ht="42.75" customHeight="1" x14ac:dyDescent="0.2">
      <c r="A6" s="607"/>
      <c r="B6" s="535"/>
      <c r="C6" s="535"/>
      <c r="D6" s="535"/>
      <c r="E6" s="535"/>
      <c r="F6" s="643"/>
      <c r="G6" s="535"/>
      <c r="H6" s="535"/>
      <c r="I6" s="535"/>
      <c r="J6" s="535"/>
      <c r="K6" s="535"/>
      <c r="L6" s="641"/>
      <c r="M6" s="253" t="s">
        <v>299</v>
      </c>
      <c r="N6" s="4" t="s">
        <v>299</v>
      </c>
      <c r="O6" s="4" t="s">
        <v>299</v>
      </c>
      <c r="P6" s="4" t="s">
        <v>299</v>
      </c>
      <c r="Q6" s="4" t="s">
        <v>299</v>
      </c>
      <c r="R6" s="4" t="s">
        <v>299</v>
      </c>
      <c r="S6" s="4" t="s">
        <v>299</v>
      </c>
      <c r="T6" s="4" t="s">
        <v>299</v>
      </c>
      <c r="U6" s="4" t="s">
        <v>299</v>
      </c>
      <c r="V6" s="4" t="s">
        <v>299</v>
      </c>
      <c r="W6" s="4" t="s">
        <v>299</v>
      </c>
      <c r="X6" s="611"/>
      <c r="Y6" s="611"/>
      <c r="Z6" s="664"/>
      <c r="AA6" s="163" t="s">
        <v>288</v>
      </c>
      <c r="AB6" s="4" t="s">
        <v>288</v>
      </c>
      <c r="AC6" s="4" t="s">
        <v>288</v>
      </c>
      <c r="AD6" s="4" t="s">
        <v>288</v>
      </c>
      <c r="AE6" s="4" t="s">
        <v>288</v>
      </c>
      <c r="AF6" s="4" t="s">
        <v>288</v>
      </c>
      <c r="AG6" s="4" t="s">
        <v>288</v>
      </c>
      <c r="AH6" s="4" t="s">
        <v>288</v>
      </c>
      <c r="AI6" s="4" t="s">
        <v>288</v>
      </c>
      <c r="AJ6" s="4" t="s">
        <v>288</v>
      </c>
      <c r="AK6" s="611"/>
      <c r="AL6" s="611"/>
      <c r="AM6" s="609"/>
      <c r="AN6" s="253" t="s">
        <v>289</v>
      </c>
      <c r="AO6" s="4" t="s">
        <v>289</v>
      </c>
      <c r="AP6" s="4" t="s">
        <v>289</v>
      </c>
      <c r="AQ6" s="4" t="s">
        <v>289</v>
      </c>
      <c r="AR6" s="4" t="s">
        <v>289</v>
      </c>
      <c r="AS6" s="4" t="s">
        <v>289</v>
      </c>
      <c r="AT6" s="4" t="s">
        <v>289</v>
      </c>
      <c r="AU6" s="4" t="s">
        <v>289</v>
      </c>
      <c r="AV6" s="4" t="s">
        <v>289</v>
      </c>
      <c r="AW6" s="4" t="s">
        <v>289</v>
      </c>
      <c r="AX6" s="611"/>
      <c r="AY6" s="611"/>
      <c r="AZ6" s="643"/>
      <c r="BA6" s="5" t="s">
        <v>198</v>
      </c>
      <c r="BB6" s="5" t="s">
        <v>199</v>
      </c>
      <c r="BC6" s="5" t="s">
        <v>200</v>
      </c>
      <c r="BD6" s="5" t="s">
        <v>201</v>
      </c>
      <c r="BE6" s="5" t="s">
        <v>20</v>
      </c>
      <c r="BF6" s="33" t="s">
        <v>202</v>
      </c>
      <c r="BG6" s="33" t="s">
        <v>203</v>
      </c>
      <c r="BH6" s="33" t="s">
        <v>204</v>
      </c>
      <c r="BI6" s="33" t="s">
        <v>205</v>
      </c>
    </row>
    <row r="7" spans="1:61" s="37" customFormat="1" ht="91.5" customHeight="1" x14ac:dyDescent="0.25">
      <c r="A7" s="603" t="s">
        <v>48</v>
      </c>
      <c r="B7" s="600" t="s">
        <v>306</v>
      </c>
      <c r="C7" s="600" t="s">
        <v>214</v>
      </c>
      <c r="D7" s="600" t="s">
        <v>307</v>
      </c>
      <c r="E7" s="600" t="s">
        <v>709</v>
      </c>
      <c r="F7" s="644">
        <f>+'PLAN DESARROLLO'!E10</f>
        <v>0.7</v>
      </c>
      <c r="G7" s="6" t="s">
        <v>630</v>
      </c>
      <c r="H7" s="64" t="s">
        <v>638</v>
      </c>
      <c r="I7" s="6" t="s">
        <v>769</v>
      </c>
      <c r="J7" s="11" t="s">
        <v>703</v>
      </c>
      <c r="K7" s="12" t="s">
        <v>639</v>
      </c>
      <c r="L7" s="237" t="s">
        <v>636</v>
      </c>
      <c r="M7" s="55"/>
      <c r="N7" s="55"/>
      <c r="O7" s="55"/>
      <c r="P7" s="55"/>
      <c r="Q7" s="55"/>
      <c r="R7" s="55"/>
      <c r="S7" s="55"/>
      <c r="T7" s="55"/>
      <c r="U7" s="55"/>
      <c r="V7" s="55"/>
      <c r="W7" s="55"/>
      <c r="X7" s="55"/>
      <c r="Y7" s="521"/>
      <c r="Z7" s="426" t="e">
        <f>AVERAGE(M7:V7)</f>
        <v>#DIV/0!</v>
      </c>
      <c r="AA7" s="164"/>
      <c r="AB7" s="57"/>
      <c r="AC7" s="57"/>
      <c r="AD7" s="57"/>
      <c r="AE7" s="57"/>
      <c r="AF7" s="57"/>
      <c r="AG7" s="57"/>
      <c r="AH7" s="57"/>
      <c r="AI7" s="57"/>
      <c r="AJ7" s="57"/>
      <c r="AK7" s="55"/>
      <c r="AL7" s="55"/>
      <c r="AM7" s="165" t="e">
        <f>+AVERAGE(AA7:AJ7)</f>
        <v>#DIV/0!</v>
      </c>
      <c r="AN7" s="414"/>
      <c r="AO7" s="57"/>
      <c r="AP7" s="57"/>
      <c r="AQ7" s="57"/>
      <c r="AR7" s="57"/>
      <c r="AS7" s="57"/>
      <c r="AT7" s="57"/>
      <c r="AU7" s="57"/>
      <c r="AV7" s="57"/>
      <c r="AW7" s="57"/>
      <c r="AX7" s="55"/>
      <c r="AY7" s="55"/>
      <c r="AZ7" s="73" t="e">
        <f>AVERAGE(AN7:AW7)</f>
        <v>#DIV/0!</v>
      </c>
      <c r="BA7" s="26" t="s">
        <v>226</v>
      </c>
      <c r="BB7" s="26" t="str">
        <f>IFERROR(IF(Z7&gt;=0.9,1,(Z7*100%)/0.9),"-")</f>
        <v>-</v>
      </c>
      <c r="BC7" s="26" t="str">
        <f>IFERROR(IF(AM7&gt;=0.8,1,(AM7*100%)/0.8),"-")</f>
        <v>-</v>
      </c>
      <c r="BD7" s="26" t="str">
        <f>IFERROR(IF(AZ7&gt;=0.8,1,(AZ7*100%)/0.8),"-")</f>
        <v>-</v>
      </c>
      <c r="BE7" s="26" t="str">
        <f>IFERROR(AVERAGE(BA7:BD7),"-")</f>
        <v>-</v>
      </c>
      <c r="BF7" s="34"/>
      <c r="BG7" s="35"/>
      <c r="BH7" s="36"/>
      <c r="BI7" s="36"/>
    </row>
    <row r="8" spans="1:61" ht="116.25" customHeight="1" x14ac:dyDescent="0.2">
      <c r="A8" s="604"/>
      <c r="B8" s="601"/>
      <c r="C8" s="601"/>
      <c r="D8" s="601"/>
      <c r="E8" s="601"/>
      <c r="F8" s="645"/>
      <c r="G8" s="6" t="s">
        <v>631</v>
      </c>
      <c r="H8" s="340" t="s">
        <v>637</v>
      </c>
      <c r="I8" s="6" t="s">
        <v>132</v>
      </c>
      <c r="J8" s="11" t="s">
        <v>703</v>
      </c>
      <c r="K8" s="12" t="s">
        <v>640</v>
      </c>
      <c r="L8" s="237" t="s">
        <v>636</v>
      </c>
      <c r="M8" s="55"/>
      <c r="N8" s="55"/>
      <c r="O8" s="55"/>
      <c r="P8" s="55"/>
      <c r="Q8" s="55"/>
      <c r="R8" s="55"/>
      <c r="S8" s="55"/>
      <c r="T8" s="55"/>
      <c r="U8" s="55"/>
      <c r="V8" s="55"/>
      <c r="W8" s="55"/>
      <c r="X8" s="57"/>
      <c r="Y8" s="7"/>
      <c r="Z8" s="421" t="e">
        <f>(AVERAGE(M8:V8))</f>
        <v>#DIV/0!</v>
      </c>
      <c r="AA8" s="164"/>
      <c r="AB8" s="57"/>
      <c r="AC8" s="57"/>
      <c r="AD8" s="57"/>
      <c r="AE8" s="57"/>
      <c r="AF8" s="57"/>
      <c r="AG8" s="57"/>
      <c r="AH8" s="57"/>
      <c r="AI8" s="57"/>
      <c r="AJ8" s="57"/>
      <c r="AK8" s="57"/>
      <c r="AL8" s="7"/>
      <c r="AM8" s="165" t="e">
        <f>AVERAGE(AA8:AJ8)</f>
        <v>#DIV/0!</v>
      </c>
      <c r="AN8" s="414"/>
      <c r="AO8" s="7"/>
      <c r="AP8" s="7"/>
      <c r="AQ8" s="7"/>
      <c r="AR8" s="7"/>
      <c r="AS8" s="7"/>
      <c r="AT8" s="7"/>
      <c r="AU8" s="7"/>
      <c r="AV8" s="7"/>
      <c r="AW8" s="7"/>
      <c r="AX8" s="57"/>
      <c r="AY8" s="7"/>
      <c r="AZ8" s="73" t="e">
        <f>+AVERAGE(AN8:AW8)</f>
        <v>#DIV/0!</v>
      </c>
      <c r="BA8" s="26" t="s">
        <v>226</v>
      </c>
      <c r="BB8" s="26" t="str">
        <f>IFERROR(IF(Z8&gt;=0.8,1,(Z8*100%)/0.8),"-")</f>
        <v>-</v>
      </c>
      <c r="BC8" s="26" t="str">
        <f>IFERROR(IF(AM8&gt;=0.8,1,(AM8*100%)/0.8),"-")</f>
        <v>-</v>
      </c>
      <c r="BD8" s="26" t="str">
        <f>IFERROR(IF(AZ8&gt;=0.8,1,(AZ8*100%)/0.8),"-")</f>
        <v>-</v>
      </c>
      <c r="BE8" s="26" t="str">
        <f>IFERROR(AVERAGE(BA8:BD8),"-")</f>
        <v>-</v>
      </c>
      <c r="BF8" s="27"/>
      <c r="BG8" s="30"/>
      <c r="BH8" s="28"/>
      <c r="BI8" s="28"/>
    </row>
    <row r="9" spans="1:61" ht="72.75" customHeight="1" x14ac:dyDescent="0.2">
      <c r="A9" s="604"/>
      <c r="B9" s="601"/>
      <c r="C9" s="601"/>
      <c r="D9" s="601"/>
      <c r="E9" s="601"/>
      <c r="F9" s="645"/>
      <c r="G9" s="6" t="s">
        <v>632</v>
      </c>
      <c r="H9" s="64" t="s">
        <v>633</v>
      </c>
      <c r="I9" s="6" t="s">
        <v>634</v>
      </c>
      <c r="J9" s="11" t="s">
        <v>703</v>
      </c>
      <c r="K9" s="12" t="s">
        <v>639</v>
      </c>
      <c r="L9" s="237" t="s">
        <v>636</v>
      </c>
      <c r="M9" s="55"/>
      <c r="N9" s="55"/>
      <c r="O9" s="55"/>
      <c r="P9" s="55"/>
      <c r="Q9" s="55"/>
      <c r="R9" s="55"/>
      <c r="S9" s="55"/>
      <c r="T9" s="55"/>
      <c r="U9" s="55"/>
      <c r="V9" s="55"/>
      <c r="W9" s="55"/>
      <c r="X9" s="57"/>
      <c r="Y9" s="7"/>
      <c r="Z9" s="421" t="e">
        <f>(AVERAGE(M9:W9))</f>
        <v>#DIV/0!</v>
      </c>
      <c r="AA9" s="164"/>
      <c r="AB9" s="7"/>
      <c r="AC9" s="7"/>
      <c r="AD9" s="7"/>
      <c r="AE9" s="7"/>
      <c r="AF9" s="7"/>
      <c r="AG9" s="7"/>
      <c r="AH9" s="7"/>
      <c r="AI9" s="7"/>
      <c r="AJ9" s="470"/>
      <c r="AK9" s="57"/>
      <c r="AL9" s="7"/>
      <c r="AM9" s="165" t="e">
        <f>AVERAGE(AA9:AJ9)</f>
        <v>#DIV/0!</v>
      </c>
      <c r="AN9" s="414"/>
      <c r="AO9" s="55"/>
      <c r="AP9" s="7"/>
      <c r="AQ9" s="7"/>
      <c r="AR9" s="7"/>
      <c r="AS9" s="7"/>
      <c r="AT9" s="7"/>
      <c r="AU9" s="7"/>
      <c r="AV9" s="7"/>
      <c r="AW9" s="7"/>
      <c r="AX9" s="57"/>
      <c r="AY9" s="7"/>
      <c r="AZ9" s="73" t="e">
        <f>+AVERAGE(AN9:AW9)</f>
        <v>#DIV/0!</v>
      </c>
      <c r="BA9" s="26" t="s">
        <v>226</v>
      </c>
      <c r="BB9" s="26" t="str">
        <f>IFERROR(IF(Z9&gt;=0.65,1,(Z9*100%)/0.65),"-")</f>
        <v>-</v>
      </c>
      <c r="BC9" s="26" t="str">
        <f>IFERROR(IF(AM9&gt;=0.65,1,(AM9*100%)/0.65),"-")</f>
        <v>-</v>
      </c>
      <c r="BD9" s="26" t="str">
        <f>IFERROR(IF(AZ9&gt;=0.65,1,(AZ9*100%)/0.65),"-")</f>
        <v>-</v>
      </c>
      <c r="BE9" s="26" t="str">
        <f>IFERROR(AVERAGE(BA9:BD9),"-")</f>
        <v>-</v>
      </c>
      <c r="BF9" s="27"/>
      <c r="BG9" s="30"/>
      <c r="BH9" s="28"/>
      <c r="BI9" s="31"/>
    </row>
    <row r="10" spans="1:61" ht="72.75" customHeight="1" x14ac:dyDescent="0.2">
      <c r="A10" s="604"/>
      <c r="B10" s="601"/>
      <c r="C10" s="601"/>
      <c r="D10" s="601"/>
      <c r="E10" s="601"/>
      <c r="F10" s="645"/>
      <c r="G10" s="6" t="s">
        <v>635</v>
      </c>
      <c r="H10" s="64" t="s">
        <v>701</v>
      </c>
      <c r="I10" s="6" t="s">
        <v>634</v>
      </c>
      <c r="J10" s="11" t="s">
        <v>499</v>
      </c>
      <c r="K10" s="12" t="s">
        <v>700</v>
      </c>
      <c r="L10" s="237" t="s">
        <v>636</v>
      </c>
      <c r="M10" s="55"/>
      <c r="N10" s="55"/>
      <c r="O10" s="55"/>
      <c r="P10" s="55"/>
      <c r="Q10" s="55"/>
      <c r="R10" s="55"/>
      <c r="S10" s="55"/>
      <c r="T10" s="55"/>
      <c r="U10" s="55"/>
      <c r="V10" s="55"/>
      <c r="W10" s="55"/>
      <c r="X10" s="57"/>
      <c r="Y10" s="7"/>
      <c r="Z10" s="421" t="e">
        <f>(AVERAGE(M10:V10))</f>
        <v>#DIV/0!</v>
      </c>
      <c r="AA10" s="164"/>
      <c r="AB10" s="55"/>
      <c r="AC10" s="7"/>
      <c r="AD10" s="7"/>
      <c r="AE10" s="7"/>
      <c r="AF10" s="7"/>
      <c r="AG10" s="7"/>
      <c r="AH10" s="7"/>
      <c r="AI10" s="7"/>
      <c r="AJ10" s="7"/>
      <c r="AK10" s="57"/>
      <c r="AL10" s="7"/>
      <c r="AM10" s="165" t="e">
        <f>+AVERAGE(AA10:AJ10)</f>
        <v>#DIV/0!</v>
      </c>
      <c r="AN10" s="414"/>
      <c r="AO10" s="55"/>
      <c r="AP10" s="7"/>
      <c r="AQ10" s="7"/>
      <c r="AR10" s="7"/>
      <c r="AS10" s="7"/>
      <c r="AT10" s="7"/>
      <c r="AU10" s="7"/>
      <c r="AV10" s="7"/>
      <c r="AW10" s="7"/>
      <c r="AX10" s="57"/>
      <c r="AY10" s="7"/>
      <c r="AZ10" s="73" t="e">
        <f>+AVERAGE(AN10:AW10)</f>
        <v>#DIV/0!</v>
      </c>
      <c r="BA10" s="26" t="s">
        <v>226</v>
      </c>
      <c r="BB10" s="26" t="str">
        <f>IFERROR(IF(Z10&gt;=0.65,1,(Z10*100%)/0.65),"-")</f>
        <v>-</v>
      </c>
      <c r="BC10" s="26" t="str">
        <f>IFERROR(IF(AM10&gt;=0.4,1,(AM10*100%)/0.4),"-")</f>
        <v>-</v>
      </c>
      <c r="BD10" s="26" t="str">
        <f>IFERROR(IF(AZ10&gt;=0.4,1,(AZ10*100%)/0.4),"-")</f>
        <v>-</v>
      </c>
      <c r="BE10" s="26" t="str">
        <f t="shared" ref="BE10" si="0">IFERROR(AVERAGE(BA10:BD10),"-")</f>
        <v>-</v>
      </c>
      <c r="BF10" s="27"/>
      <c r="BG10" s="30"/>
      <c r="BH10" s="28"/>
      <c r="BI10" s="31"/>
    </row>
    <row r="11" spans="1:61" s="58" customFormat="1" ht="45.6" customHeight="1" thickBot="1" x14ac:dyDescent="0.25">
      <c r="A11" s="596" t="s">
        <v>294</v>
      </c>
      <c r="B11" s="597"/>
      <c r="C11" s="597"/>
      <c r="D11" s="597"/>
      <c r="E11" s="597"/>
      <c r="F11" s="597"/>
      <c r="G11" s="597"/>
      <c r="H11" s="597"/>
      <c r="I11" s="597"/>
      <c r="J11" s="398"/>
      <c r="K11" s="398"/>
      <c r="L11" s="399"/>
      <c r="M11" s="402" t="str">
        <f t="shared" ref="M11:BE11" si="1">IFERROR(AVERAGE(M7:M10),"-")</f>
        <v>-</v>
      </c>
      <c r="N11" s="402" t="str">
        <f t="shared" si="1"/>
        <v>-</v>
      </c>
      <c r="O11" s="402" t="str">
        <f t="shared" si="1"/>
        <v>-</v>
      </c>
      <c r="P11" s="402" t="str">
        <f t="shared" si="1"/>
        <v>-</v>
      </c>
      <c r="Q11" s="402" t="str">
        <f t="shared" si="1"/>
        <v>-</v>
      </c>
      <c r="R11" s="402" t="str">
        <f t="shared" si="1"/>
        <v>-</v>
      </c>
      <c r="S11" s="402" t="str">
        <f t="shared" si="1"/>
        <v>-</v>
      </c>
      <c r="T11" s="402" t="str">
        <f t="shared" si="1"/>
        <v>-</v>
      </c>
      <c r="U11" s="402" t="str">
        <f t="shared" si="1"/>
        <v>-</v>
      </c>
      <c r="V11" s="402" t="str">
        <f t="shared" si="1"/>
        <v>-</v>
      </c>
      <c r="W11" s="402" t="str">
        <f t="shared" si="1"/>
        <v>-</v>
      </c>
      <c r="X11" s="27"/>
      <c r="Y11" s="62"/>
      <c r="Z11" s="670" t="str">
        <f t="shared" si="1"/>
        <v>-</v>
      </c>
      <c r="AA11" s="454" t="str">
        <f t="shared" si="1"/>
        <v>-</v>
      </c>
      <c r="AB11" s="455" t="str">
        <f t="shared" si="1"/>
        <v>-</v>
      </c>
      <c r="AC11" s="455" t="str">
        <f t="shared" si="1"/>
        <v>-</v>
      </c>
      <c r="AD11" s="455" t="str">
        <f t="shared" si="1"/>
        <v>-</v>
      </c>
      <c r="AE11" s="455" t="str">
        <f t="shared" si="1"/>
        <v>-</v>
      </c>
      <c r="AF11" s="455" t="str">
        <f t="shared" si="1"/>
        <v>-</v>
      </c>
      <c r="AG11" s="455" t="str">
        <f t="shared" si="1"/>
        <v>-</v>
      </c>
      <c r="AH11" s="455" t="str">
        <f t="shared" si="1"/>
        <v>-</v>
      </c>
      <c r="AI11" s="455" t="str">
        <f t="shared" si="1"/>
        <v>-</v>
      </c>
      <c r="AJ11" s="455" t="str">
        <f t="shared" si="1"/>
        <v>-</v>
      </c>
      <c r="AK11" s="425"/>
      <c r="AL11" s="422"/>
      <c r="AM11" s="616" t="str">
        <f t="shared" si="1"/>
        <v>-</v>
      </c>
      <c r="AN11" s="59" t="str">
        <f t="shared" si="1"/>
        <v>-</v>
      </c>
      <c r="AO11" s="59" t="str">
        <f t="shared" si="1"/>
        <v>-</v>
      </c>
      <c r="AP11" s="59" t="str">
        <f t="shared" si="1"/>
        <v>-</v>
      </c>
      <c r="AQ11" s="59" t="str">
        <f t="shared" si="1"/>
        <v>-</v>
      </c>
      <c r="AR11" s="59" t="str">
        <f>IFERROR(AVERAGE(AR7:AR10),"-")</f>
        <v>-</v>
      </c>
      <c r="AS11" s="59" t="str">
        <f t="shared" si="1"/>
        <v>-</v>
      </c>
      <c r="AT11" s="59" t="str">
        <f t="shared" si="1"/>
        <v>-</v>
      </c>
      <c r="AU11" s="59" t="str">
        <f t="shared" si="1"/>
        <v>-</v>
      </c>
      <c r="AV11" s="59" t="str">
        <f>IFERROR(AVERAGE(AV7:AV10),"-")</f>
        <v>-</v>
      </c>
      <c r="AW11" s="59" t="str">
        <f t="shared" si="1"/>
        <v>-</v>
      </c>
      <c r="AX11" s="425"/>
      <c r="AY11" s="422"/>
      <c r="AZ11" s="659" t="str">
        <f t="shared" si="1"/>
        <v>-</v>
      </c>
      <c r="BA11" s="59" t="str">
        <f t="shared" si="1"/>
        <v>-</v>
      </c>
      <c r="BB11" s="59" t="str">
        <f t="shared" si="1"/>
        <v>-</v>
      </c>
      <c r="BC11" s="59" t="str">
        <f t="shared" si="1"/>
        <v>-</v>
      </c>
      <c r="BD11" s="59" t="str">
        <f t="shared" si="1"/>
        <v>-</v>
      </c>
      <c r="BE11" s="668" t="str">
        <f t="shared" si="1"/>
        <v>-</v>
      </c>
      <c r="BF11" s="31"/>
      <c r="BG11" s="32"/>
      <c r="BH11" s="28"/>
      <c r="BI11" s="31"/>
    </row>
    <row r="12" spans="1:61" ht="26.25" thickBot="1" x14ac:dyDescent="0.25">
      <c r="Y12" s="341" t="s">
        <v>296</v>
      </c>
      <c r="Z12" s="670"/>
      <c r="AA12" s="424"/>
      <c r="AB12" s="134"/>
      <c r="AC12" s="134"/>
      <c r="AD12" s="134"/>
      <c r="AE12" s="134"/>
      <c r="AF12" s="134"/>
      <c r="AG12" s="134"/>
      <c r="AH12" s="134"/>
      <c r="AI12" s="134"/>
      <c r="AJ12" s="134"/>
      <c r="AK12" s="134"/>
      <c r="AL12" s="423" t="s">
        <v>296</v>
      </c>
      <c r="AM12" s="671"/>
      <c r="AX12" s="134"/>
      <c r="AY12" s="62" t="s">
        <v>298</v>
      </c>
      <c r="AZ12" s="659"/>
      <c r="BD12" s="61" t="s">
        <v>295</v>
      </c>
      <c r="BE12" s="669"/>
    </row>
    <row r="15" spans="1:61" ht="30.75" customHeight="1" x14ac:dyDescent="0.25">
      <c r="E15" s="584" t="str">
        <f>+D7</f>
        <v>Programa  Gestión y minimización de los riesgos asociados a la atención en sa</v>
      </c>
      <c r="F15" s="631" t="s">
        <v>586</v>
      </c>
      <c r="G15" s="632"/>
      <c r="H15" s="632"/>
      <c r="I15" s="632"/>
      <c r="J15" s="633"/>
      <c r="K15" s="295" t="s">
        <v>577</v>
      </c>
      <c r="L15" s="313" t="s">
        <v>584</v>
      </c>
      <c r="M15" s="296" t="s">
        <v>582</v>
      </c>
      <c r="N15" s="296" t="s">
        <v>583</v>
      </c>
      <c r="O15" s="297" t="s">
        <v>581</v>
      </c>
      <c r="Z15" s="56"/>
      <c r="AA15" s="296" t="s">
        <v>582</v>
      </c>
      <c r="AB15" s="296" t="s">
        <v>729</v>
      </c>
      <c r="AC15" s="296" t="s">
        <v>583</v>
      </c>
      <c r="AD15" s="297" t="s">
        <v>581</v>
      </c>
      <c r="AE15" s="453"/>
      <c r="AN15" s="296" t="s">
        <v>582</v>
      </c>
      <c r="AO15" s="296" t="s">
        <v>729</v>
      </c>
      <c r="AP15" s="296" t="s">
        <v>733</v>
      </c>
      <c r="AQ15" s="296" t="s">
        <v>583</v>
      </c>
      <c r="AR15" s="297" t="s">
        <v>581</v>
      </c>
    </row>
    <row r="16" spans="1:61" ht="15" x14ac:dyDescent="0.25">
      <c r="E16" s="585"/>
      <c r="F16" s="412" t="str">
        <f>+G7</f>
        <v>Proporción de vigilancia de eventos adversos</v>
      </c>
      <c r="G16" s="410"/>
      <c r="H16" s="410"/>
      <c r="I16" s="410"/>
      <c r="J16" s="411"/>
      <c r="K16" s="299" t="str">
        <f>+I7</f>
        <v> &gt;90%</v>
      </c>
      <c r="L16" s="588">
        <v>0.7</v>
      </c>
      <c r="M16" s="299" t="e">
        <f>+Z7</f>
        <v>#DIV/0!</v>
      </c>
      <c r="N16" s="299" t="str">
        <f>IFERROR(IF(M16&gt;=0.8,1,(M16*100%)/0.8),"-")</f>
        <v>-</v>
      </c>
      <c r="O16" s="587" t="str">
        <f>IFERROR(+N20,"-")</f>
        <v>-</v>
      </c>
      <c r="Z16" s="56"/>
      <c r="AA16" s="299" t="e">
        <f>+AM7</f>
        <v>#DIV/0!</v>
      </c>
      <c r="AB16" s="299" t="e">
        <f>+M16</f>
        <v>#DIV/0!</v>
      </c>
      <c r="AC16" s="299" t="str">
        <f>IFERROR(IF(AVERAGE(AA16,AB16)&gt;=0.8,1,(AVERAGE(AA16,AB16)*100%)/0.8),"-")</f>
        <v>-</v>
      </c>
      <c r="AD16" s="651" t="str">
        <f>IFERROR(+AA20,"-")</f>
        <v>-</v>
      </c>
      <c r="AE16" s="657"/>
      <c r="AN16" s="299" t="e">
        <f>+AZ7</f>
        <v>#DIV/0!</v>
      </c>
      <c r="AO16" s="299" t="e">
        <f>+M16</f>
        <v>#DIV/0!</v>
      </c>
      <c r="AP16" s="299" t="e">
        <f>+AA16</f>
        <v>#DIV/0!</v>
      </c>
      <c r="AQ16" s="299" t="str">
        <f>IFERROR(IF(AVERAGE(AN16,AP16)&gt;=0.8,1,(AVERAGE(AN16:AP16)*100%)/0.8),"-")</f>
        <v>-</v>
      </c>
      <c r="AR16" s="651" t="e">
        <f>+AN20</f>
        <v>#DIV/0!</v>
      </c>
    </row>
    <row r="17" spans="5:44" ht="15" x14ac:dyDescent="0.25">
      <c r="E17" s="585"/>
      <c r="F17" s="412" t="str">
        <f>+G8</f>
        <v>Promedio de la calificación de adherencia a las buenas prácticas de seguridad del paciente</v>
      </c>
      <c r="G17" s="410"/>
      <c r="H17" s="410"/>
      <c r="I17" s="410"/>
      <c r="J17" s="411"/>
      <c r="K17" s="299" t="str">
        <f>+I8</f>
        <v>&gt;=80%</v>
      </c>
      <c r="L17" s="589"/>
      <c r="M17" s="299" t="e">
        <f>+Z8</f>
        <v>#DIV/0!</v>
      </c>
      <c r="N17" s="299" t="str">
        <f>IFERROR(IF(M17&gt;=0.8,1,(M17*100%)/0.8),"-")</f>
        <v>-</v>
      </c>
      <c r="O17" s="587"/>
      <c r="Z17" s="56"/>
      <c r="AA17" s="299" t="e">
        <f>+AM8</f>
        <v>#DIV/0!</v>
      </c>
      <c r="AB17" s="299" t="e">
        <f>+M17</f>
        <v>#DIV/0!</v>
      </c>
      <c r="AC17" s="299" t="str">
        <f>IFERROR(IF(AVERAGE(AA17,AB17)&gt;=0.8,1,(AVERAGE(AA17,AB17)*100%)/0.8),"-")</f>
        <v>-</v>
      </c>
      <c r="AD17" s="651"/>
      <c r="AE17" s="658"/>
      <c r="AN17" s="299" t="e">
        <f>+AZ8</f>
        <v>#DIV/0!</v>
      </c>
      <c r="AO17" s="299" t="e">
        <f>+M17</f>
        <v>#DIV/0!</v>
      </c>
      <c r="AP17" s="299" t="e">
        <f>+AA17</f>
        <v>#DIV/0!</v>
      </c>
      <c r="AQ17" s="299" t="str">
        <f>IFERROR(IF(AVERAGE(AN17,AP17)&gt;=0.8,1,(AVERAGE(AN17:AP17)*100%)/0.8),"-")</f>
        <v>-</v>
      </c>
      <c r="AR17" s="651"/>
    </row>
    <row r="18" spans="5:44" ht="15" x14ac:dyDescent="0.25">
      <c r="E18" s="585"/>
      <c r="F18" s="412" t="str">
        <f>+G9</f>
        <v xml:space="preserve">Promedio de la calificación de la implementación de las buenas practicas de seguridad del paciente priorizadas </v>
      </c>
      <c r="G18" s="410"/>
      <c r="H18" s="410"/>
      <c r="I18" s="410"/>
      <c r="J18" s="411"/>
      <c r="K18" s="299" t="str">
        <f>+I9</f>
        <v>&gt;=65%</v>
      </c>
      <c r="L18" s="589"/>
      <c r="M18" s="299" t="e">
        <f>+Z9</f>
        <v>#DIV/0!</v>
      </c>
      <c r="N18" s="299" t="str">
        <f>IFERROR(IF(M18&gt;=0.65,1,(M18*100%)/0.65),"-")</f>
        <v>-</v>
      </c>
      <c r="O18" s="587"/>
      <c r="Z18" s="56"/>
      <c r="AA18" s="299" t="e">
        <f>+AM9</f>
        <v>#DIV/0!</v>
      </c>
      <c r="AB18" s="299" t="e">
        <f>+M18</f>
        <v>#DIV/0!</v>
      </c>
      <c r="AC18" s="299" t="str">
        <f>IFERROR(IF(AVERAGE(AA18,AB18)&gt;=0.65,1,(AVERAGE(AA18,AB18)*100%)/0.65),"-")</f>
        <v>-</v>
      </c>
      <c r="AD18" s="651"/>
      <c r="AE18" s="658"/>
      <c r="AN18" s="299" t="e">
        <f>+AZ9</f>
        <v>#DIV/0!</v>
      </c>
      <c r="AO18" s="299" t="e">
        <f>+M18</f>
        <v>#DIV/0!</v>
      </c>
      <c r="AP18" s="299" t="e">
        <f>+AA18</f>
        <v>#DIV/0!</v>
      </c>
      <c r="AQ18" s="299" t="str">
        <f>IFERROR(IF(AVERAGE(AN18,AP18)&gt;=0.8,1,(AVERAGE(AN18:AP18)*100%)/0.8),"-")</f>
        <v>-</v>
      </c>
      <c r="AR18" s="651"/>
    </row>
    <row r="19" spans="5:44" ht="15" x14ac:dyDescent="0.25">
      <c r="E19" s="586"/>
      <c r="F19" s="412" t="str">
        <f>+G10</f>
        <v>Gestión del riesgo extremo y alto en seguridad del paciente</v>
      </c>
      <c r="G19" s="410"/>
      <c r="H19" s="410"/>
      <c r="I19" s="410"/>
      <c r="J19" s="411"/>
      <c r="K19" s="299" t="str">
        <f>+I10</f>
        <v>&gt;=65%</v>
      </c>
      <c r="L19" s="590"/>
      <c r="M19" s="299" t="e">
        <f>+Z10</f>
        <v>#DIV/0!</v>
      </c>
      <c r="N19" s="299" t="str">
        <f>IFERROR(IF(M19&gt;=0.4,1,(M19*100%)/0.4),"-")</f>
        <v>-</v>
      </c>
      <c r="O19" s="587"/>
      <c r="Z19" s="56"/>
      <c r="AA19" s="299" t="e">
        <f>+AM10</f>
        <v>#DIV/0!</v>
      </c>
      <c r="AB19" s="299" t="e">
        <f>+M19</f>
        <v>#DIV/0!</v>
      </c>
      <c r="AC19" s="299" t="str">
        <f>IFERROR(IF(AVERAGE(AA19,AB19)&gt;=0.4,1,(AVERAGE(AA19,AB19)*100%)/0.4),"-")</f>
        <v>-</v>
      </c>
      <c r="AD19" s="651"/>
      <c r="AE19" s="658"/>
      <c r="AN19" s="299" t="e">
        <f>+AZ10</f>
        <v>#DIV/0!</v>
      </c>
      <c r="AO19" s="299" t="e">
        <f>+M19</f>
        <v>#DIV/0!</v>
      </c>
      <c r="AP19" s="299" t="e">
        <f>+AA19</f>
        <v>#DIV/0!</v>
      </c>
      <c r="AQ19" s="299" t="str">
        <f>IFERROR(IF(AVERAGE(AN19,AP19)&gt;=0.8,1,(AVERAGE(AN19:AP19)*100%)/0.8),"-")</f>
        <v>-</v>
      </c>
      <c r="AR19" s="651"/>
    </row>
    <row r="20" spans="5:44" ht="15" x14ac:dyDescent="0.25">
      <c r="F20" s="29"/>
      <c r="H20" s="29"/>
      <c r="K20" s="56"/>
      <c r="L20" s="56"/>
      <c r="M20" s="38"/>
      <c r="N20" s="298" t="e">
        <f>+AVERAGE(M16:M19)</f>
        <v>#DIV/0!</v>
      </c>
      <c r="O20" s="292"/>
      <c r="AA20" s="298" t="e">
        <f>+AVERAGE(AA16:AA19)</f>
        <v>#DIV/0!</v>
      </c>
      <c r="AB20" s="38"/>
      <c r="AD20" s="292"/>
      <c r="AN20" s="298" t="e">
        <f>+AVERAGE(AN16:AN19)</f>
        <v>#DIV/0!</v>
      </c>
      <c r="AO20" s="38"/>
      <c r="AP20" s="38"/>
      <c r="AR20" s="292"/>
    </row>
    <row r="21" spans="5:44" x14ac:dyDescent="0.2">
      <c r="AB21" s="56"/>
      <c r="AN21" s="29"/>
      <c r="AO21" s="56"/>
      <c r="AP21" s="56"/>
    </row>
  </sheetData>
  <mergeCells count="48">
    <mergeCell ref="BE11:BE12"/>
    <mergeCell ref="F7:F10"/>
    <mergeCell ref="A11:I11"/>
    <mergeCell ref="Z11:Z12"/>
    <mergeCell ref="AM11:AM12"/>
    <mergeCell ref="A7:A10"/>
    <mergeCell ref="B7:B10"/>
    <mergeCell ref="C7:C10"/>
    <mergeCell ref="D7:D10"/>
    <mergeCell ref="E7:E10"/>
    <mergeCell ref="A1:B1"/>
    <mergeCell ref="C1:BF1"/>
    <mergeCell ref="J5:J6"/>
    <mergeCell ref="K5:K6"/>
    <mergeCell ref="Z5:Z6"/>
    <mergeCell ref="AM5:AM6"/>
    <mergeCell ref="BA5:BE5"/>
    <mergeCell ref="AK5:AK6"/>
    <mergeCell ref="BG1:BI2"/>
    <mergeCell ref="A2:B3"/>
    <mergeCell ref="C2:BF3"/>
    <mergeCell ref="BG3:BI3"/>
    <mergeCell ref="BF5:BI5"/>
    <mergeCell ref="L5:L6"/>
    <mergeCell ref="A4:D4"/>
    <mergeCell ref="A5:A6"/>
    <mergeCell ref="B5:B6"/>
    <mergeCell ref="C5:C6"/>
    <mergeCell ref="D5:D6"/>
    <mergeCell ref="E5:E6"/>
    <mergeCell ref="F5:F6"/>
    <mergeCell ref="G5:G6"/>
    <mergeCell ref="H5:H6"/>
    <mergeCell ref="I5:I6"/>
    <mergeCell ref="AR16:AR19"/>
    <mergeCell ref="AX5:AX6"/>
    <mergeCell ref="AY5:AY6"/>
    <mergeCell ref="AZ5:AZ6"/>
    <mergeCell ref="AL5:AL6"/>
    <mergeCell ref="AZ11:AZ12"/>
    <mergeCell ref="F15:J15"/>
    <mergeCell ref="AE16:AE19"/>
    <mergeCell ref="X5:X6"/>
    <mergeCell ref="Y5:Y6"/>
    <mergeCell ref="E15:E19"/>
    <mergeCell ref="L16:L19"/>
    <mergeCell ref="AD16:AD19"/>
    <mergeCell ref="O16:O19"/>
  </mergeCells>
  <conditionalFormatting sqref="BE11 BA7:BE10">
    <cfRule type="cellIs" dxfId="62" priority="1" operator="lessThan">
      <formula>0.6</formula>
    </cfRule>
    <cfRule type="cellIs" dxfId="61" priority="2" operator="between">
      <formula>60%</formula>
      <formula>79%</formula>
    </cfRule>
    <cfRule type="cellIs" dxfId="60" priority="3" operator="between">
      <formula>80%</formula>
      <formula>100%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vt:i4>
      </vt:variant>
    </vt:vector>
  </HeadingPairs>
  <TitlesOfParts>
    <vt:vector size="28" baseType="lpstr">
      <vt:lpstr>POA INST</vt:lpstr>
      <vt:lpstr>Instructivo Evaluación</vt:lpstr>
      <vt:lpstr>PLAN DESARROLLO</vt:lpstr>
      <vt:lpstr>PROGRAMAS ESTRATEGICOS</vt:lpstr>
      <vt:lpstr>Despliegue POA</vt:lpstr>
      <vt:lpstr>Programa Humanizacion</vt:lpstr>
      <vt:lpstr>Modelo Atención</vt:lpstr>
      <vt:lpstr>Acreditación</vt:lpstr>
      <vt:lpstr>Seguridad Paciente</vt:lpstr>
      <vt:lpstr>Alta Complejidad</vt:lpstr>
      <vt:lpstr>PEGIF</vt:lpstr>
      <vt:lpstr>Costos</vt:lpstr>
      <vt:lpstr>Prevención Daño Ant</vt:lpstr>
      <vt:lpstr>MIPG</vt:lpstr>
      <vt:lpstr>Integración SI</vt:lpstr>
      <vt:lpstr>Construcción-Adecuación</vt:lpstr>
      <vt:lpstr>Gestión Tecnología</vt:lpstr>
      <vt:lpstr>PEGITH</vt:lpstr>
      <vt:lpstr>ISO 140012015</vt:lpstr>
      <vt:lpstr>ISO 450012018</vt:lpstr>
      <vt:lpstr>ISO 90012015</vt:lpstr>
      <vt:lpstr>BPE - BPM</vt:lpstr>
      <vt:lpstr>BPM</vt:lpstr>
      <vt:lpstr>Gestion Investigación</vt:lpstr>
      <vt:lpstr>Líneas Investigación</vt:lpstr>
      <vt:lpstr>Congresos</vt:lpstr>
      <vt:lpstr>Alianzas Estratégicas</vt:lpstr>
      <vt:lpstr>'Despliegue POA'!Área_de_impresión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CALIDAD03</dc:creator>
  <cp:lastModifiedBy>CALIDAD03</cp:lastModifiedBy>
  <cp:lastPrinted>2021-06-02T23:00:48Z</cp:lastPrinted>
  <dcterms:created xsi:type="dcterms:W3CDTF">2021-05-11T21:38:35Z</dcterms:created>
  <dcterms:modified xsi:type="dcterms:W3CDTF">2022-07-27T21:01:08Z</dcterms:modified>
</cp:coreProperties>
</file>